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<sst xmlns="http://schemas.openxmlformats.org/spreadsheetml/2006/main" count="59" uniqueCount="47">
  <si>
    <t xml:space="preserve">Moteur</t>
  </si>
  <si>
    <t xml:space="preserve">Cylindrée (cm³)</t>
  </si>
  <si>
    <t xml:space="preserve">Résultats</t>
  </si>
  <si>
    <t xml:space="preserve">Nbre Cylindres</t>
  </si>
  <si>
    <t xml:space="preserve">Cu</t>
  </si>
  <si>
    <t xml:space="preserve">Temps (ms)</t>
  </si>
  <si>
    <t xml:space="preserve">Rapport Volumétrique ε</t>
  </si>
  <si>
    <t xml:space="preserve">V1 (PMB)</t>
  </si>
  <si>
    <t xml:space="preserve">V2 (PMB)</t>
  </si>
  <si>
    <t xml:space="preserve">Vitesse de rotation (tr/min)</t>
  </si>
  <si>
    <t xml:space="preserve">m air kg</t>
  </si>
  <si>
    <t xml:space="preserve">m gaz kg</t>
  </si>
  <si>
    <t xml:space="preserve">Carburant</t>
  </si>
  <si>
    <t xml:space="preserve">Pouvoir comburivore 1/</t>
  </si>
  <si>
    <t xml:space="preserve">Inc. Angle</t>
  </si>
  <si>
    <t xml:space="preserve">Pci (kj/kg)</t>
  </si>
  <si>
    <t xml:space="preserve">Augm T comb</t>
  </si>
  <si>
    <t xml:space="preserve">Admission</t>
  </si>
  <si>
    <t xml:space="preserve">Richesse</t>
  </si>
  <si>
    <t xml:space="preserve">Cv</t>
  </si>
  <si>
    <t xml:space="preserve">P1 (bars)</t>
  </si>
  <si>
    <t xml:space="preserve">T1 (celcius)</t>
  </si>
  <si>
    <t xml:space="preserve">Retard °</t>
  </si>
  <si>
    <t xml:space="preserve">Air</t>
  </si>
  <si>
    <t xml:space="preserve">Const. Gaz parfait r</t>
  </si>
  <si>
    <t xml:space="preserve">Coef. compression adiab. γ</t>
  </si>
  <si>
    <t xml:space="preserve">Combustion</t>
  </si>
  <si>
    <t xml:space="preserve">Avance °</t>
  </si>
  <si>
    <t xml:space="preserve">Angle °</t>
  </si>
  <si>
    <t xml:space="preserve">Travail total du cycle (J)*</t>
  </si>
  <si>
    <t xml:space="preserve">* estimation</t>
  </si>
  <si>
    <t xml:space="preserve">Q comb (J)</t>
  </si>
  <si>
    <t xml:space="preserve">Rendement*</t>
  </si>
  <si>
    <t xml:space="preserve">Compression</t>
  </si>
  <si>
    <t xml:space="preserve">Détente</t>
  </si>
  <si>
    <t xml:space="preserve">Sans injection</t>
  </si>
  <si>
    <t xml:space="preserve">Avec injection</t>
  </si>
  <si>
    <t xml:space="preserve">Travail (J)</t>
  </si>
  <si>
    <t xml:space="preserve">Point</t>
  </si>
  <si>
    <t xml:space="preserve">Angle</t>
  </si>
  <si>
    <t xml:space="preserve">Volume</t>
  </si>
  <si>
    <t xml:space="preserve">Pression </t>
  </si>
  <si>
    <t xml:space="preserve">Température</t>
  </si>
  <si>
    <t xml:space="preserve">Pression</t>
  </si>
  <si>
    <t xml:space="preserve">W comb (J)</t>
  </si>
  <si>
    <t xml:space="preserve">W comp (J)</t>
  </si>
  <si>
    <t xml:space="preserve">W det (J)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</si>
</sst>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3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DBB6"/>
        <bgColor rgb="FFFFFFCC"/>
      </patternFill>
    </fill>
    <fill>
      <patternFill patternType="solid">
        <fgColor rgb="FF77BC65"/>
        <bgColor rgb="FF99CC00"/>
      </patternFill>
    </fill>
    <fill>
      <patternFill patternType="solid">
        <fgColor rgb="FF3465A4"/>
        <bgColor rgb="FF3366FF"/>
      </patternFill>
    </fill>
    <fill>
      <patternFill patternType="solid">
        <fgColor rgb="FFFF5429"/>
        <bgColor rgb="FFFF420E"/>
      </patternFill>
    </fill>
    <fill>
      <patternFill patternType="solid">
        <fgColor rgb="FFFFD428"/>
        <bgColor rgb="FFFFD32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420E"/>
      <rgbColor rgb="FF00FF00"/>
      <rgbColor rgb="FF0000FF"/>
      <rgbColor rgb="FFFFD42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D320"/>
      <rgbColor rgb="FFFF9900"/>
      <rgbColor rgb="FFFF5429"/>
      <rgbColor rgb="FF3465A4"/>
      <rgbColor rgb="FF77BC65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Combustion (Clapeyron)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Feuille1!$C$35:$C$55</c:f>
              <c:numCache>
                <c:formatCode>General</c:formatCode>
                <c:ptCount val="21"/>
                <c:pt idx="0">
                  <c:v>44.4444444444444</c:v>
                </c:pt>
                <c:pt idx="1">
                  <c:v>44.4749054131662</c:v>
                </c:pt>
                <c:pt idx="2">
                  <c:v>44.5662790406253</c:v>
                </c:pt>
                <c:pt idx="3">
                  <c:v>44.7185374935297</c:v>
                </c:pt>
                <c:pt idx="4">
                  <c:v>44.9316343924796</c:v>
                </c:pt>
                <c:pt idx="5">
                  <c:v>45.2055048260953</c:v>
                </c:pt>
                <c:pt idx="6">
                  <c:v>45.5400653707898</c:v>
                </c:pt>
                <c:pt idx="7">
                  <c:v>45.93521411618</c:v>
                </c:pt>
                <c:pt idx="8">
                  <c:v>46.3908306961304</c:v>
                </c:pt>
                <c:pt idx="9">
                  <c:v>46.9067763254169</c:v>
                </c:pt>
                <c:pt idx="10">
                  <c:v>47.4828938420028</c:v>
                </c:pt>
                <c:pt idx="11">
                  <c:v>48.1190077549117</c:v>
                </c:pt>
                <c:pt idx="12">
                  <c:v>48.8149242976833</c:v>
                </c:pt>
                <c:pt idx="13">
                  <c:v>49.5704314873974</c:v>
                </c:pt>
                <c:pt idx="14">
                  <c:v>50.3852991892452</c:v>
                </c:pt>
                <c:pt idx="15">
                  <c:v>51.2592791866308</c:v>
                </c:pt>
                <c:pt idx="16">
                  <c:v>52.1921052567807</c:v>
                </c:pt>
                <c:pt idx="17">
                  <c:v>53.1834932518373</c:v>
                </c:pt>
                <c:pt idx="18">
                  <c:v>54.2331411854137</c:v>
                </c:pt>
                <c:pt idx="19">
                  <c:v>55.3407293245811</c:v>
                </c:pt>
                <c:pt idx="20">
                  <c:v>56.5059202872628</c:v>
                </c:pt>
              </c:numCache>
            </c:numRef>
          </c:xVal>
          <c:yVal>
            <c:numRef>
              <c:f>Feuille1!$F$35:$F$55</c:f>
              <c:numCache>
                <c:formatCode>General</c:formatCode>
                <c:ptCount val="21"/>
                <c:pt idx="0">
                  <c:v>42.7020693356629</c:v>
                </c:pt>
                <c:pt idx="1">
                  <c:v>53.3023287988345</c:v>
                </c:pt>
                <c:pt idx="2">
                  <c:v>63.7774887908902</c:v>
                </c:pt>
                <c:pt idx="3">
                  <c:v>74.0857663702114</c:v>
                </c:pt>
                <c:pt idx="4">
                  <c:v>84.1873842462426</c:v>
                </c:pt>
                <c:pt idx="5">
                  <c:v>94.0450859517974</c:v>
                </c:pt>
                <c:pt idx="6">
                  <c:v>103.624583881503</c:v>
                </c:pt>
                <c:pt idx="7">
                  <c:v>112.894929772557</c:v>
                </c:pt>
                <c:pt idx="8">
                  <c:v>121.828800652165</c:v>
                </c:pt>
                <c:pt idx="9">
                  <c:v>130.402696860263</c:v>
                </c:pt>
                <c:pt idx="10">
                  <c:v>138.597052252677</c:v>
                </c:pt>
                <c:pt idx="11">
                  <c:v>146.396259900109</c:v>
                </c:pt>
                <c:pt idx="12">
                  <c:v>153.788619362964</c:v>
                </c:pt>
                <c:pt idx="13">
                  <c:v>160.766213830253</c:v>
                </c:pt>
                <c:pt idx="14">
                  <c:v>167.324727003253</c:v>
                </c:pt>
                <c:pt idx="15">
                  <c:v>173.46321057136</c:v>
                </c:pt>
                <c:pt idx="16">
                  <c:v>179.183813501356</c:v>
                </c:pt>
                <c:pt idx="17">
                  <c:v>184.49148420829</c:v>
                </c:pt>
                <c:pt idx="18">
                  <c:v>189.393656085379</c:v>
                </c:pt>
                <c:pt idx="19">
                  <c:v>193.899925942381</c:v>
                </c:pt>
                <c:pt idx="20">
                  <c:v>198.021733740266</c:v>
                </c:pt>
              </c:numCache>
            </c:numRef>
          </c:yVal>
          <c:smooth val="1"/>
        </c:ser>
        <c:axId val="17739181"/>
        <c:axId val="4340192"/>
      </c:scatterChart>
      <c:scatterChart>
        <c:scatterStyle val="line"/>
        <c:varyColors val="0"/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Feuille1!$C$35:$C$55</c:f>
              <c:numCache>
                <c:formatCode>General</c:formatCode>
                <c:ptCount val="21"/>
                <c:pt idx="0">
                  <c:v>44.4444444444444</c:v>
                </c:pt>
                <c:pt idx="1">
                  <c:v>44.4749054131662</c:v>
                </c:pt>
                <c:pt idx="2">
                  <c:v>44.5662790406253</c:v>
                </c:pt>
                <c:pt idx="3">
                  <c:v>44.7185374935297</c:v>
                </c:pt>
                <c:pt idx="4">
                  <c:v>44.9316343924796</c:v>
                </c:pt>
                <c:pt idx="5">
                  <c:v>45.2055048260953</c:v>
                </c:pt>
                <c:pt idx="6">
                  <c:v>45.5400653707898</c:v>
                </c:pt>
                <c:pt idx="7">
                  <c:v>45.93521411618</c:v>
                </c:pt>
                <c:pt idx="8">
                  <c:v>46.3908306961304</c:v>
                </c:pt>
                <c:pt idx="9">
                  <c:v>46.9067763254169</c:v>
                </c:pt>
                <c:pt idx="10">
                  <c:v>47.4828938420028</c:v>
                </c:pt>
                <c:pt idx="11">
                  <c:v>48.1190077549117</c:v>
                </c:pt>
                <c:pt idx="12">
                  <c:v>48.8149242976833</c:v>
                </c:pt>
                <c:pt idx="13">
                  <c:v>49.5704314873974</c:v>
                </c:pt>
                <c:pt idx="14">
                  <c:v>50.3852991892452</c:v>
                </c:pt>
                <c:pt idx="15">
                  <c:v>51.2592791866308</c:v>
                </c:pt>
                <c:pt idx="16">
                  <c:v>52.1921052567807</c:v>
                </c:pt>
                <c:pt idx="17">
                  <c:v>53.1834932518373</c:v>
                </c:pt>
                <c:pt idx="18">
                  <c:v>54.2331411854137</c:v>
                </c:pt>
                <c:pt idx="19">
                  <c:v>55.3407293245811</c:v>
                </c:pt>
                <c:pt idx="20">
                  <c:v>56.5059202872628</c:v>
                </c:pt>
              </c:numCache>
            </c:numRef>
          </c:xVal>
          <c:yVal>
            <c:numRef>
              <c:f>Feuille1!$G$35:$G$55</c:f>
              <c:numCache>
                <c:formatCode>General</c:formatCode>
                <c:ptCount val="21"/>
                <c:pt idx="0">
                  <c:v>836.45818169269</c:v>
                </c:pt>
                <c:pt idx="1">
                  <c:v>1044.8141539403</c:v>
                </c:pt>
                <c:pt idx="2">
                  <c:v>1252.71310438376</c:v>
                </c:pt>
                <c:pt idx="3">
                  <c:v>1460.15916795971</c:v>
                </c:pt>
                <c:pt idx="4">
                  <c:v>1667.15915851851</c:v>
                </c:pt>
                <c:pt idx="5">
                  <c:v>1873.72245497544</c:v>
                </c:pt>
                <c:pt idx="6">
                  <c:v>2079.86084720319</c:v>
                </c:pt>
                <c:pt idx="7">
                  <c:v>2285.58834660079</c:v>
                </c:pt>
                <c:pt idx="8">
                  <c:v>2490.92096722158</c:v>
                </c:pt>
                <c:pt idx="9">
                  <c:v>2695.87648399485</c:v>
                </c:pt>
                <c:pt idx="10">
                  <c:v>2900.47417491594</c:v>
                </c:pt>
                <c:pt idx="11">
                  <c:v>3104.73455411382</c:v>
                </c:pt>
                <c:pt idx="12">
                  <c:v>3308.67910245718</c:v>
                </c:pt>
                <c:pt idx="13">
                  <c:v>3512.33000187031</c:v>
                </c:pt>
                <c:pt idx="14">
                  <c:v>3715.70987884669</c:v>
                </c:pt>
                <c:pt idx="15">
                  <c:v>3918.84156182973</c:v>
                </c:pt>
                <c:pt idx="16">
                  <c:v>4121.74785622921</c:v>
                </c:pt>
                <c:pt idx="17">
                  <c:v>4324.45133991514</c:v>
                </c:pt>
                <c:pt idx="18">
                  <c:v>4526.97418112203</c:v>
                </c:pt>
                <c:pt idx="19">
                  <c:v>4729.33797984529</c:v>
                </c:pt>
                <c:pt idx="20">
                  <c:v>4931.5636330461</c:v>
                </c:pt>
              </c:numCache>
            </c:numRef>
          </c:yVal>
          <c:smooth val="1"/>
        </c:ser>
        <c:axId val="6086101"/>
        <c:axId val="4652810"/>
      </c:scatterChart>
      <c:valAx>
        <c:axId val="177391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Volume (cm3)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340192"/>
        <c:crosses val="autoZero"/>
        <c:crossBetween val="midCat"/>
      </c:valAx>
      <c:valAx>
        <c:axId val="434019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Pression (Bars)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7739181"/>
        <c:crosses val="autoZero"/>
        <c:crossBetween val="midCat"/>
      </c:valAx>
      <c:valAx>
        <c:axId val="608610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652810"/>
        <c:crossBetween val="midCat"/>
      </c:valAx>
      <c:valAx>
        <c:axId val="465281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Température (K)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86101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Admission / Combustion / Détente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495482099965687"/>
          <c:y val="0.0236696816633384"/>
          <c:w val="0.909664874756948"/>
          <c:h val="0.90303065899213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Feuille1!$C$35:$C$55</c:f>
              <c:numCache>
                <c:formatCode>General</c:formatCode>
                <c:ptCount val="21"/>
                <c:pt idx="0">
                  <c:v>44.4444444444444</c:v>
                </c:pt>
                <c:pt idx="1">
                  <c:v>44.4749054131662</c:v>
                </c:pt>
                <c:pt idx="2">
                  <c:v>44.5662790406253</c:v>
                </c:pt>
                <c:pt idx="3">
                  <c:v>44.7185374935297</c:v>
                </c:pt>
                <c:pt idx="4">
                  <c:v>44.9316343924796</c:v>
                </c:pt>
                <c:pt idx="5">
                  <c:v>45.2055048260953</c:v>
                </c:pt>
                <c:pt idx="6">
                  <c:v>45.5400653707898</c:v>
                </c:pt>
                <c:pt idx="7">
                  <c:v>45.93521411618</c:v>
                </c:pt>
                <c:pt idx="8">
                  <c:v>46.3908306961304</c:v>
                </c:pt>
                <c:pt idx="9">
                  <c:v>46.9067763254169</c:v>
                </c:pt>
                <c:pt idx="10">
                  <c:v>47.4828938420028</c:v>
                </c:pt>
                <c:pt idx="11">
                  <c:v>48.1190077549117</c:v>
                </c:pt>
                <c:pt idx="12">
                  <c:v>48.8149242976833</c:v>
                </c:pt>
                <c:pt idx="13">
                  <c:v>49.5704314873974</c:v>
                </c:pt>
                <c:pt idx="14">
                  <c:v>50.3852991892452</c:v>
                </c:pt>
                <c:pt idx="15">
                  <c:v>51.2592791866308</c:v>
                </c:pt>
                <c:pt idx="16">
                  <c:v>52.1921052567807</c:v>
                </c:pt>
                <c:pt idx="17">
                  <c:v>53.1834932518373</c:v>
                </c:pt>
                <c:pt idx="18">
                  <c:v>54.2331411854137</c:v>
                </c:pt>
                <c:pt idx="19">
                  <c:v>55.3407293245811</c:v>
                </c:pt>
                <c:pt idx="20">
                  <c:v>56.5059202872628</c:v>
                </c:pt>
              </c:numCache>
            </c:numRef>
          </c:xVal>
          <c:yVal>
            <c:numRef>
              <c:f>Feuille1!$F$35:$F$55</c:f>
              <c:numCache>
                <c:formatCode>General</c:formatCode>
                <c:ptCount val="21"/>
                <c:pt idx="0">
                  <c:v>42.7020693356629</c:v>
                </c:pt>
                <c:pt idx="1">
                  <c:v>53.3023287988345</c:v>
                </c:pt>
                <c:pt idx="2">
                  <c:v>63.7774887908902</c:v>
                </c:pt>
                <c:pt idx="3">
                  <c:v>74.0857663702114</c:v>
                </c:pt>
                <c:pt idx="4">
                  <c:v>84.1873842462426</c:v>
                </c:pt>
                <c:pt idx="5">
                  <c:v>94.0450859517974</c:v>
                </c:pt>
                <c:pt idx="6">
                  <c:v>103.624583881503</c:v>
                </c:pt>
                <c:pt idx="7">
                  <c:v>112.894929772557</c:v>
                </c:pt>
                <c:pt idx="8">
                  <c:v>121.828800652165</c:v>
                </c:pt>
                <c:pt idx="9">
                  <c:v>130.402696860263</c:v>
                </c:pt>
                <c:pt idx="10">
                  <c:v>138.597052252677</c:v>
                </c:pt>
                <c:pt idx="11">
                  <c:v>146.396259900109</c:v>
                </c:pt>
                <c:pt idx="12">
                  <c:v>153.788619362964</c:v>
                </c:pt>
                <c:pt idx="13">
                  <c:v>160.766213830253</c:v>
                </c:pt>
                <c:pt idx="14">
                  <c:v>167.324727003253</c:v>
                </c:pt>
                <c:pt idx="15">
                  <c:v>173.46321057136</c:v>
                </c:pt>
                <c:pt idx="16">
                  <c:v>179.183813501356</c:v>
                </c:pt>
                <c:pt idx="17">
                  <c:v>184.49148420829</c:v>
                </c:pt>
                <c:pt idx="18">
                  <c:v>189.393656085379</c:v>
                </c:pt>
                <c:pt idx="19">
                  <c:v>193.899925942381</c:v>
                </c:pt>
                <c:pt idx="20">
                  <c:v>198.021733740266</c:v>
                </c:pt>
              </c:numCache>
            </c:numRef>
          </c:yVal>
          <c:smooth val="1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Feuille1!$K$35:$K$65</c:f>
              <c:numCache>
                <c:formatCode>General</c:formatCode>
                <c:ptCount val="31"/>
                <c:pt idx="0">
                  <c:v>444.444444444444</c:v>
                </c:pt>
                <c:pt idx="1">
                  <c:v>431.111111111111</c:v>
                </c:pt>
                <c:pt idx="2">
                  <c:v>417.777777777778</c:v>
                </c:pt>
                <c:pt idx="3">
                  <c:v>404.444444444444</c:v>
                </c:pt>
                <c:pt idx="4">
                  <c:v>391.111111111111</c:v>
                </c:pt>
                <c:pt idx="5">
                  <c:v>377.777777777778</c:v>
                </c:pt>
                <c:pt idx="6">
                  <c:v>364.444444444444</c:v>
                </c:pt>
                <c:pt idx="7">
                  <c:v>351.111111111111</c:v>
                </c:pt>
                <c:pt idx="8">
                  <c:v>337.777777777778</c:v>
                </c:pt>
                <c:pt idx="9">
                  <c:v>324.444444444444</c:v>
                </c:pt>
                <c:pt idx="10">
                  <c:v>311.111111111111</c:v>
                </c:pt>
                <c:pt idx="11">
                  <c:v>297.777777777778</c:v>
                </c:pt>
                <c:pt idx="12">
                  <c:v>284.444444444444</c:v>
                </c:pt>
                <c:pt idx="13">
                  <c:v>271.111111111111</c:v>
                </c:pt>
                <c:pt idx="14">
                  <c:v>257.777777777778</c:v>
                </c:pt>
                <c:pt idx="15">
                  <c:v>244.444444444444</c:v>
                </c:pt>
                <c:pt idx="16">
                  <c:v>231.111111111111</c:v>
                </c:pt>
                <c:pt idx="17">
                  <c:v>217.777777777778</c:v>
                </c:pt>
                <c:pt idx="18">
                  <c:v>204.444444444444</c:v>
                </c:pt>
                <c:pt idx="19">
                  <c:v>191.111111111111</c:v>
                </c:pt>
                <c:pt idx="20">
                  <c:v>177.777777777778</c:v>
                </c:pt>
                <c:pt idx="21">
                  <c:v>164.444444444444</c:v>
                </c:pt>
                <c:pt idx="22">
                  <c:v>151.111111111111</c:v>
                </c:pt>
                <c:pt idx="23">
                  <c:v>137.777777777778</c:v>
                </c:pt>
                <c:pt idx="24">
                  <c:v>124.444444444444</c:v>
                </c:pt>
                <c:pt idx="25">
                  <c:v>111.111111111111</c:v>
                </c:pt>
                <c:pt idx="26">
                  <c:v>97.7777777777778</c:v>
                </c:pt>
                <c:pt idx="27">
                  <c:v>84.4444444444445</c:v>
                </c:pt>
                <c:pt idx="28">
                  <c:v>71.1111111111111</c:v>
                </c:pt>
                <c:pt idx="29">
                  <c:v>57.7777777777778</c:v>
                </c:pt>
                <c:pt idx="30">
                  <c:v>44.4444444444445</c:v>
                </c:pt>
              </c:numCache>
            </c:numRef>
          </c:xVal>
          <c:yVal>
            <c:numRef>
              <c:f>Feuille1!$L$35:$L$65</c:f>
              <c:numCache>
                <c:formatCode>General</c:formatCode>
                <c:ptCount val="31"/>
                <c:pt idx="0">
                  <c:v>1.7</c:v>
                </c:pt>
                <c:pt idx="1">
                  <c:v>1.77406077411807</c:v>
                </c:pt>
                <c:pt idx="2">
                  <c:v>1.85383008706203</c:v>
                </c:pt>
                <c:pt idx="3">
                  <c:v>1.93995194533372</c:v>
                </c:pt>
                <c:pt idx="4">
                  <c:v>2.03316760037318</c:v>
                </c:pt>
                <c:pt idx="5">
                  <c:v>2.13433420945707</c:v>
                </c:pt>
                <c:pt idx="6">
                  <c:v>2.24444789686188</c:v>
                </c:pt>
                <c:pt idx="7">
                  <c:v>2.36467246083624</c:v>
                </c:pt>
                <c:pt idx="8">
                  <c:v>2.49637538803105</c:v>
                </c:pt>
                <c:pt idx="9">
                  <c:v>2.6411734151338</c:v>
                </c:pt>
                <c:pt idx="10">
                  <c:v>2.80099069032736</c:v>
                </c:pt>
                <c:pt idx="11">
                  <c:v>2.97813374509141</c:v>
                </c:pt>
                <c:pt idx="12">
                  <c:v>3.17538915945911</c:v>
                </c:pt>
                <c:pt idx="13">
                  <c:v>3.39615225680323</c:v>
                </c:pt>
                <c:pt idx="14">
                  <c:v>3.64459882137552</c:v>
                </c:pt>
                <c:pt idx="15">
                  <c:v>3.9259173831687</c:v>
                </c:pt>
                <c:pt idx="16">
                  <c:v>4.24662820883889</c:v>
                </c:pt>
                <c:pt idx="17">
                  <c:v>4.61502873370619</c:v>
                </c:pt>
                <c:pt idx="18">
                  <c:v>5.0418272014953</c:v>
                </c:pt>
                <c:pt idx="19">
                  <c:v>5.54106294384181</c:v>
                </c:pt>
                <c:pt idx="20">
                  <c:v>6.13147460010566</c:v>
                </c:pt>
                <c:pt idx="21">
                  <c:v>6.83858906796757</c:v>
                </c:pt>
                <c:pt idx="22">
                  <c:v>7.69800940789565</c:v>
                </c:pt>
                <c:pt idx="23">
                  <c:v>8.76077547143157</c:v>
                </c:pt>
                <c:pt idx="24">
                  <c:v>10.1024725134557</c:v>
                </c:pt>
                <c:pt idx="25">
                  <c:v>11.8394876608273</c:v>
                </c:pt>
                <c:pt idx="26">
                  <c:v>14.1598015982424</c:v>
                </c:pt>
                <c:pt idx="27">
                  <c:v>17.3857680019921</c:v>
                </c:pt>
                <c:pt idx="28">
                  <c:v>22.1146945716122</c:v>
                </c:pt>
                <c:pt idx="29">
                  <c:v>29.5752366345112</c:v>
                </c:pt>
                <c:pt idx="30">
                  <c:v>42.7020693356628</c:v>
                </c:pt>
              </c:numCache>
            </c:numRef>
          </c:yVal>
          <c:smooth val="1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Feuille1!$Q$35:$Q$65</c:f>
              <c:numCache>
                <c:formatCode>General</c:formatCode>
                <c:ptCount val="31"/>
                <c:pt idx="0">
                  <c:v>56.5059202872628</c:v>
                </c:pt>
                <c:pt idx="1">
                  <c:v>69.4372044258355</c:v>
                </c:pt>
                <c:pt idx="2">
                  <c:v>82.3684885644082</c:v>
                </c:pt>
                <c:pt idx="3">
                  <c:v>95.2997727029809</c:v>
                </c:pt>
                <c:pt idx="4">
                  <c:v>108.231056841554</c:v>
                </c:pt>
                <c:pt idx="5">
                  <c:v>121.162340980126</c:v>
                </c:pt>
                <c:pt idx="6">
                  <c:v>134.093625118699</c:v>
                </c:pt>
                <c:pt idx="7">
                  <c:v>147.024909257272</c:v>
                </c:pt>
                <c:pt idx="8">
                  <c:v>159.956193395845</c:v>
                </c:pt>
                <c:pt idx="9">
                  <c:v>172.887477534417</c:v>
                </c:pt>
                <c:pt idx="10">
                  <c:v>185.81876167299</c:v>
                </c:pt>
                <c:pt idx="11">
                  <c:v>198.750045811563</c:v>
                </c:pt>
                <c:pt idx="12">
                  <c:v>211.681329950135</c:v>
                </c:pt>
                <c:pt idx="13">
                  <c:v>224.612614088708</c:v>
                </c:pt>
                <c:pt idx="14">
                  <c:v>237.543898227281</c:v>
                </c:pt>
                <c:pt idx="15">
                  <c:v>250.475182365854</c:v>
                </c:pt>
                <c:pt idx="16">
                  <c:v>263.406466504426</c:v>
                </c:pt>
                <c:pt idx="17">
                  <c:v>276.337750642999</c:v>
                </c:pt>
                <c:pt idx="18">
                  <c:v>289.269034781572</c:v>
                </c:pt>
                <c:pt idx="19">
                  <c:v>302.200318920144</c:v>
                </c:pt>
                <c:pt idx="20">
                  <c:v>315.131603058717</c:v>
                </c:pt>
                <c:pt idx="21">
                  <c:v>328.06288719729</c:v>
                </c:pt>
                <c:pt idx="22">
                  <c:v>340.994171335863</c:v>
                </c:pt>
                <c:pt idx="23">
                  <c:v>353.925455474435</c:v>
                </c:pt>
                <c:pt idx="24">
                  <c:v>366.856739613008</c:v>
                </c:pt>
                <c:pt idx="25">
                  <c:v>379.788023751581</c:v>
                </c:pt>
                <c:pt idx="26">
                  <c:v>392.719307890154</c:v>
                </c:pt>
                <c:pt idx="27">
                  <c:v>405.650592028726</c:v>
                </c:pt>
                <c:pt idx="28">
                  <c:v>418.581876167299</c:v>
                </c:pt>
                <c:pt idx="29">
                  <c:v>431.513160305872</c:v>
                </c:pt>
                <c:pt idx="30">
                  <c:v>444.444444444444</c:v>
                </c:pt>
              </c:numCache>
            </c:numRef>
          </c:xVal>
          <c:yVal>
            <c:numRef>
              <c:f>Feuille1!$R$35:$R$65</c:f>
              <c:numCache>
                <c:formatCode>General</c:formatCode>
                <c:ptCount val="31"/>
                <c:pt idx="0">
                  <c:v>198.021733740266</c:v>
                </c:pt>
                <c:pt idx="1">
                  <c:v>148.393635028698</c:v>
                </c:pt>
                <c:pt idx="2">
                  <c:v>116.836585495854</c:v>
                </c:pt>
                <c:pt idx="3">
                  <c:v>95.2611415026638</c:v>
                </c:pt>
                <c:pt idx="4">
                  <c:v>79.7171443974473</c:v>
                </c:pt>
                <c:pt idx="5">
                  <c:v>68.0659129530888</c:v>
                </c:pt>
                <c:pt idx="6">
                  <c:v>59.0572210904765</c:v>
                </c:pt>
                <c:pt idx="7">
                  <c:v>51.9155075223367</c:v>
                </c:pt>
                <c:pt idx="8">
                  <c:v>46.136315422571</c:v>
                </c:pt>
                <c:pt idx="9">
                  <c:v>41.3785662996772</c:v>
                </c:pt>
                <c:pt idx="10">
                  <c:v>37.4040824712901</c:v>
                </c:pt>
                <c:pt idx="11">
                  <c:v>34.0419366858707</c:v>
                </c:pt>
                <c:pt idx="12">
                  <c:v>31.166556027333</c:v>
                </c:pt>
                <c:pt idx="13">
                  <c:v>28.6837938678653</c:v>
                </c:pt>
                <c:pt idx="14">
                  <c:v>26.5217978883141</c:v>
                </c:pt>
                <c:pt idx="15">
                  <c:v>24.6248622622684</c:v>
                </c:pt>
                <c:pt idx="16">
                  <c:v>22.9491913215811</c:v>
                </c:pt>
                <c:pt idx="17">
                  <c:v>21.4599194061516</c:v>
                </c:pt>
                <c:pt idx="18">
                  <c:v>20.1289753025239</c:v>
                </c:pt>
                <c:pt idx="19">
                  <c:v>18.9335262622498</c:v>
                </c:pt>
                <c:pt idx="20">
                  <c:v>17.8548271360514</c:v>
                </c:pt>
                <c:pt idx="21">
                  <c:v>16.8773574404156</c:v>
                </c:pt>
                <c:pt idx="22">
                  <c:v>15.9881662010029</c:v>
                </c:pt>
                <c:pt idx="23">
                  <c:v>15.1763688272633</c:v>
                </c:pt>
                <c:pt idx="24">
                  <c:v>14.4327566554125</c:v>
                </c:pt>
                <c:pt idx="25">
                  <c:v>13.749490974201</c:v>
                </c:pt>
                <c:pt idx="26">
                  <c:v>13.1198610897559</c:v>
                </c:pt>
                <c:pt idx="27">
                  <c:v>12.5380914234133</c:v>
                </c:pt>
                <c:pt idx="28">
                  <c:v>11.9991865053343</c:v>
                </c:pt>
                <c:pt idx="29">
                  <c:v>11.4988055126177</c:v>
                </c:pt>
                <c:pt idx="30">
                  <c:v>11.0331600292756</c:v>
                </c:pt>
              </c:numCache>
            </c:numRef>
          </c:yVal>
          <c:smooth val="1"/>
        </c:ser>
        <c:axId val="40708440"/>
        <c:axId val="79965515"/>
      </c:scatterChart>
      <c:valAx>
        <c:axId val="407084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Volume (cm3)</a:t>
                </a:r>
              </a:p>
            </c:rich>
          </c:tx>
          <c:layout>
            <c:manualLayout>
              <c:xMode val="edge"/>
              <c:yMode val="edge"/>
              <c:x val="0.444206707288711"/>
              <c:y val="0.95775893844452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9965515"/>
        <c:crosses val="autoZero"/>
        <c:crossBetween val="midCat"/>
      </c:valAx>
      <c:valAx>
        <c:axId val="7996551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Pression (Bars)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70844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Combustion (fonction du temps)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Feuille1!$G$4:$G$24</c:f>
              <c:numCache>
                <c:formatCode>General</c:formatCode>
                <c:ptCount val="21"/>
                <c:pt idx="0">
                  <c:v>0</c:v>
                </c:pt>
                <c:pt idx="1">
                  <c:v>0.0555555555555556</c:v>
                </c:pt>
                <c:pt idx="2">
                  <c:v>0.111111111111111</c:v>
                </c:pt>
                <c:pt idx="3">
                  <c:v>0.166666666666667</c:v>
                </c:pt>
                <c:pt idx="4">
                  <c:v>0.222222222222222</c:v>
                </c:pt>
                <c:pt idx="5">
                  <c:v>0.277777777777778</c:v>
                </c:pt>
                <c:pt idx="6">
                  <c:v>0.333333333333333</c:v>
                </c:pt>
                <c:pt idx="7">
                  <c:v>0.388888888888889</c:v>
                </c:pt>
                <c:pt idx="8">
                  <c:v>0.444444444444444</c:v>
                </c:pt>
                <c:pt idx="9">
                  <c:v>0.5</c:v>
                </c:pt>
                <c:pt idx="10">
                  <c:v>0.555555555555556</c:v>
                </c:pt>
                <c:pt idx="11">
                  <c:v>0.611111111111111</c:v>
                </c:pt>
                <c:pt idx="12">
                  <c:v>0.666666666666667</c:v>
                </c:pt>
                <c:pt idx="13">
                  <c:v>0.722222222222222</c:v>
                </c:pt>
                <c:pt idx="14">
                  <c:v>0.777777777777778</c:v>
                </c:pt>
                <c:pt idx="15">
                  <c:v>0.833333333333333</c:v>
                </c:pt>
                <c:pt idx="16">
                  <c:v>0.888888888888889</c:v>
                </c:pt>
                <c:pt idx="17">
                  <c:v>0.944444444444444</c:v>
                </c:pt>
                <c:pt idx="18">
                  <c:v>1</c:v>
                </c:pt>
                <c:pt idx="19">
                  <c:v>1.05555555555556</c:v>
                </c:pt>
                <c:pt idx="20">
                  <c:v>1.11111111111111</c:v>
                </c:pt>
              </c:numCache>
            </c:numRef>
          </c:xVal>
          <c:yVal>
            <c:numRef>
              <c:f>Feuille1!$F$35:$F$55</c:f>
              <c:numCache>
                <c:formatCode>General</c:formatCode>
                <c:ptCount val="21"/>
                <c:pt idx="0">
                  <c:v>42.7020693356629</c:v>
                </c:pt>
                <c:pt idx="1">
                  <c:v>53.3023287988345</c:v>
                </c:pt>
                <c:pt idx="2">
                  <c:v>63.7774887908902</c:v>
                </c:pt>
                <c:pt idx="3">
                  <c:v>74.0857663702114</c:v>
                </c:pt>
                <c:pt idx="4">
                  <c:v>84.1873842462426</c:v>
                </c:pt>
                <c:pt idx="5">
                  <c:v>94.0450859517974</c:v>
                </c:pt>
                <c:pt idx="6">
                  <c:v>103.624583881503</c:v>
                </c:pt>
                <c:pt idx="7">
                  <c:v>112.894929772557</c:v>
                </c:pt>
                <c:pt idx="8">
                  <c:v>121.828800652165</c:v>
                </c:pt>
                <c:pt idx="9">
                  <c:v>130.402696860263</c:v>
                </c:pt>
                <c:pt idx="10">
                  <c:v>138.597052252677</c:v>
                </c:pt>
                <c:pt idx="11">
                  <c:v>146.396259900109</c:v>
                </c:pt>
                <c:pt idx="12">
                  <c:v>153.788619362964</c:v>
                </c:pt>
                <c:pt idx="13">
                  <c:v>160.766213830253</c:v>
                </c:pt>
                <c:pt idx="14">
                  <c:v>167.324727003253</c:v>
                </c:pt>
                <c:pt idx="15">
                  <c:v>173.46321057136</c:v>
                </c:pt>
                <c:pt idx="16">
                  <c:v>179.183813501356</c:v>
                </c:pt>
                <c:pt idx="17">
                  <c:v>184.49148420829</c:v>
                </c:pt>
                <c:pt idx="18">
                  <c:v>189.393656085379</c:v>
                </c:pt>
                <c:pt idx="19">
                  <c:v>193.899925942381</c:v>
                </c:pt>
                <c:pt idx="20">
                  <c:v>198.021733740266</c:v>
                </c:pt>
              </c:numCache>
            </c:numRef>
          </c:yVal>
          <c:smooth val="1"/>
        </c:ser>
        <c:axId val="53216168"/>
        <c:axId val="55108547"/>
      </c:scatterChart>
      <c:scatterChart>
        <c:scatterStyle val="line"/>
        <c:varyColors val="0"/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Feuille1!$G$4:$G$24</c:f>
              <c:numCache>
                <c:formatCode>General</c:formatCode>
                <c:ptCount val="21"/>
                <c:pt idx="0">
                  <c:v>0</c:v>
                </c:pt>
                <c:pt idx="1">
                  <c:v>0.0555555555555556</c:v>
                </c:pt>
                <c:pt idx="2">
                  <c:v>0.111111111111111</c:v>
                </c:pt>
                <c:pt idx="3">
                  <c:v>0.166666666666667</c:v>
                </c:pt>
                <c:pt idx="4">
                  <c:v>0.222222222222222</c:v>
                </c:pt>
                <c:pt idx="5">
                  <c:v>0.277777777777778</c:v>
                </c:pt>
                <c:pt idx="6">
                  <c:v>0.333333333333333</c:v>
                </c:pt>
                <c:pt idx="7">
                  <c:v>0.388888888888889</c:v>
                </c:pt>
                <c:pt idx="8">
                  <c:v>0.444444444444444</c:v>
                </c:pt>
                <c:pt idx="9">
                  <c:v>0.5</c:v>
                </c:pt>
                <c:pt idx="10">
                  <c:v>0.555555555555556</c:v>
                </c:pt>
                <c:pt idx="11">
                  <c:v>0.611111111111111</c:v>
                </c:pt>
                <c:pt idx="12">
                  <c:v>0.666666666666667</c:v>
                </c:pt>
                <c:pt idx="13">
                  <c:v>0.722222222222222</c:v>
                </c:pt>
                <c:pt idx="14">
                  <c:v>0.777777777777778</c:v>
                </c:pt>
                <c:pt idx="15">
                  <c:v>0.833333333333333</c:v>
                </c:pt>
                <c:pt idx="16">
                  <c:v>0.888888888888889</c:v>
                </c:pt>
                <c:pt idx="17">
                  <c:v>0.944444444444444</c:v>
                </c:pt>
                <c:pt idx="18">
                  <c:v>1</c:v>
                </c:pt>
                <c:pt idx="19">
                  <c:v>1.05555555555556</c:v>
                </c:pt>
                <c:pt idx="20">
                  <c:v>1.11111111111111</c:v>
                </c:pt>
              </c:numCache>
            </c:numRef>
          </c:xVal>
          <c:yVal>
            <c:numRef>
              <c:f>Feuille1!$G$35:$G$55</c:f>
              <c:numCache>
                <c:formatCode>General</c:formatCode>
                <c:ptCount val="21"/>
                <c:pt idx="0">
                  <c:v>836.45818169269</c:v>
                </c:pt>
                <c:pt idx="1">
                  <c:v>1044.8141539403</c:v>
                </c:pt>
                <c:pt idx="2">
                  <c:v>1252.71310438376</c:v>
                </c:pt>
                <c:pt idx="3">
                  <c:v>1460.15916795971</c:v>
                </c:pt>
                <c:pt idx="4">
                  <c:v>1667.15915851851</c:v>
                </c:pt>
                <c:pt idx="5">
                  <c:v>1873.72245497544</c:v>
                </c:pt>
                <c:pt idx="6">
                  <c:v>2079.86084720319</c:v>
                </c:pt>
                <c:pt idx="7">
                  <c:v>2285.58834660079</c:v>
                </c:pt>
                <c:pt idx="8">
                  <c:v>2490.92096722158</c:v>
                </c:pt>
                <c:pt idx="9">
                  <c:v>2695.87648399485</c:v>
                </c:pt>
                <c:pt idx="10">
                  <c:v>2900.47417491594</c:v>
                </c:pt>
                <c:pt idx="11">
                  <c:v>3104.73455411382</c:v>
                </c:pt>
                <c:pt idx="12">
                  <c:v>3308.67910245718</c:v>
                </c:pt>
                <c:pt idx="13">
                  <c:v>3512.33000187031</c:v>
                </c:pt>
                <c:pt idx="14">
                  <c:v>3715.70987884669</c:v>
                </c:pt>
                <c:pt idx="15">
                  <c:v>3918.84156182973</c:v>
                </c:pt>
                <c:pt idx="16">
                  <c:v>4121.74785622921</c:v>
                </c:pt>
                <c:pt idx="17">
                  <c:v>4324.45133991514</c:v>
                </c:pt>
                <c:pt idx="18">
                  <c:v>4526.97418112203</c:v>
                </c:pt>
                <c:pt idx="19">
                  <c:v>4729.33797984529</c:v>
                </c:pt>
                <c:pt idx="20">
                  <c:v>4931.5636330461</c:v>
                </c:pt>
              </c:numCache>
            </c:numRef>
          </c:yVal>
          <c:smooth val="1"/>
        </c:ser>
        <c:axId val="20156648"/>
        <c:axId val="28454121"/>
      </c:scatterChart>
      <c:valAx>
        <c:axId val="532161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Temps (ms)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108547"/>
        <c:crossesAt val="0"/>
        <c:crossBetween val="midCat"/>
      </c:valAx>
      <c:valAx>
        <c:axId val="5510854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Pression (Bars)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3216168"/>
        <c:crosses val="autoZero"/>
        <c:crossBetween val="midCat"/>
      </c:valAx>
      <c:valAx>
        <c:axId val="201566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8454121"/>
        <c:crossBetween val="midCat"/>
      </c:valAx>
      <c:valAx>
        <c:axId val="2845412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Température (K)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0156648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50760</xdr:colOff>
      <xdr:row>0</xdr:row>
      <xdr:rowOff>38160</xdr:rowOff>
    </xdr:from>
    <xdr:to>
      <xdr:col>13</xdr:col>
      <xdr:colOff>419040</xdr:colOff>
      <xdr:row>30</xdr:row>
      <xdr:rowOff>50400</xdr:rowOff>
    </xdr:to>
    <xdr:graphicFrame>
      <xdr:nvGraphicFramePr>
        <xdr:cNvPr id="0" name=""/>
        <xdr:cNvGraphicFramePr/>
      </xdr:nvGraphicFramePr>
      <xdr:xfrm>
        <a:off x="7296480" y="38160"/>
        <a:ext cx="5428800" cy="489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374400</xdr:colOff>
      <xdr:row>0</xdr:row>
      <xdr:rowOff>50040</xdr:rowOff>
    </xdr:from>
    <xdr:to>
      <xdr:col>22</xdr:col>
      <xdr:colOff>787320</xdr:colOff>
      <xdr:row>30</xdr:row>
      <xdr:rowOff>50040</xdr:rowOff>
    </xdr:to>
    <xdr:graphicFrame>
      <xdr:nvGraphicFramePr>
        <xdr:cNvPr id="1" name=""/>
        <xdr:cNvGraphicFramePr/>
      </xdr:nvGraphicFramePr>
      <xdr:xfrm>
        <a:off x="12680640" y="50040"/>
        <a:ext cx="7739280" cy="488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21600</xdr:colOff>
      <xdr:row>0</xdr:row>
      <xdr:rowOff>21960</xdr:rowOff>
    </xdr:from>
    <xdr:to>
      <xdr:col>7</xdr:col>
      <xdr:colOff>110880</xdr:colOff>
      <xdr:row>30</xdr:row>
      <xdr:rowOff>75240</xdr:rowOff>
    </xdr:to>
    <xdr:graphicFrame>
      <xdr:nvGraphicFramePr>
        <xdr:cNvPr id="2" name=""/>
        <xdr:cNvGraphicFramePr/>
      </xdr:nvGraphicFramePr>
      <xdr:xfrm>
        <a:off x="2541240" y="21960"/>
        <a:ext cx="4815360" cy="493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8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24" activeCellId="0" sqref="B24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24.17"/>
    <col collapsed="false" customWidth="true" hidden="false" outlineLevel="0" max="4" min="4" style="0" width="16.53"/>
    <col collapsed="false" customWidth="true" hidden="false" outlineLevel="0" max="5" min="5" style="0" width="15.84"/>
    <col collapsed="false" customWidth="true" hidden="false" outlineLevel="0" max="9" min="9" style="0" width="14.03"/>
  </cols>
  <sheetData>
    <row r="1" customFormat="false" ht="12.8" hidden="false" customHeight="false" outlineLevel="0" collapsed="false">
      <c r="A1" s="1" t="s">
        <v>0</v>
      </c>
      <c r="B1" s="2"/>
      <c r="D1" s="3"/>
    </row>
    <row r="2" customFormat="false" ht="12.8" hidden="false" customHeight="false" outlineLevel="0" collapsed="false">
      <c r="A2" s="2" t="s">
        <v>1</v>
      </c>
      <c r="B2" s="2" t="n">
        <v>1600</v>
      </c>
      <c r="D2" s="3" t="s">
        <v>2</v>
      </c>
    </row>
    <row r="3" customFormat="false" ht="12.8" hidden="false" customHeight="false" outlineLevel="0" collapsed="false">
      <c r="A3" s="2" t="s">
        <v>3</v>
      </c>
      <c r="B3" s="2" t="n">
        <v>4</v>
      </c>
      <c r="D3" s="0" t="s">
        <v>4</v>
      </c>
      <c r="E3" s="0" t="n">
        <f aca="false">B2/B3</f>
        <v>400</v>
      </c>
      <c r="G3" s="4" t="s">
        <v>5</v>
      </c>
    </row>
    <row r="4" customFormat="false" ht="13.05" hidden="false" customHeight="false" outlineLevel="0" collapsed="false">
      <c r="A4" s="2" t="s">
        <v>6</v>
      </c>
      <c r="B4" s="2" t="n">
        <v>10</v>
      </c>
      <c r="D4" s="0" t="s">
        <v>7</v>
      </c>
      <c r="E4" s="0" t="n">
        <f aca="false">E3*B4/(B4-1)</f>
        <v>444.444444444444</v>
      </c>
      <c r="G4" s="4" t="n">
        <f aca="false">($E$16-$B$23)/($B$6*60)*A35/20*10000</f>
        <v>0</v>
      </c>
    </row>
    <row r="5" customFormat="false" ht="12.8" hidden="false" customHeight="false" outlineLevel="0" collapsed="false">
      <c r="A5" s="2"/>
      <c r="B5" s="2"/>
      <c r="D5" s="0" t="s">
        <v>8</v>
      </c>
      <c r="E5" s="0" t="n">
        <f aca="false">E3/(B4-1)</f>
        <v>44.4444444444444</v>
      </c>
      <c r="G5" s="4" t="n">
        <f aca="false">($E$16-$B$23)/($B$6*60)*A36/20*10000</f>
        <v>0.0555555555555556</v>
      </c>
    </row>
    <row r="6" customFormat="false" ht="12.8" hidden="false" customHeight="false" outlineLevel="0" collapsed="false">
      <c r="A6" s="2" t="s">
        <v>9</v>
      </c>
      <c r="B6" s="2" t="n">
        <v>3000</v>
      </c>
      <c r="G6" s="4" t="n">
        <f aca="false">($E$16-$B$23)/($B$6*60)*A37/20*10000</f>
        <v>0.111111111111111</v>
      </c>
    </row>
    <row r="7" customFormat="false" ht="12.8" hidden="false" customHeight="false" outlineLevel="0" collapsed="false">
      <c r="A7" s="2"/>
      <c r="B7" s="2"/>
      <c r="D7" s="0" t="s">
        <v>10</v>
      </c>
      <c r="E7" s="0" t="n">
        <f aca="false">B15*E4/(B19*(B16+273)*10)</f>
        <v>0.000790569896260953</v>
      </c>
      <c r="G7" s="4" t="n">
        <f aca="false">($E$16-$B$23)/($B$6*60)*A38/20*10000</f>
        <v>0.166666666666667</v>
      </c>
    </row>
    <row r="8" customFormat="false" ht="12.8" hidden="false" customHeight="false" outlineLevel="0" collapsed="false">
      <c r="A8" s="2"/>
      <c r="B8" s="2"/>
      <c r="D8" s="0" t="s">
        <v>11</v>
      </c>
      <c r="E8" s="0" t="n">
        <f aca="false">E7/B10*B14</f>
        <v>5.37802650517655E-005</v>
      </c>
      <c r="G8" s="4" t="n">
        <f aca="false">($E$16-$B$23)/($B$6*60)*A39/20*10000</f>
        <v>0.222222222222222</v>
      </c>
    </row>
    <row r="9" customFormat="false" ht="12.8" hidden="false" customHeight="false" outlineLevel="0" collapsed="false">
      <c r="A9" s="1" t="s">
        <v>12</v>
      </c>
      <c r="B9" s="2"/>
      <c r="G9" s="4" t="n">
        <f aca="false">($E$16-$B$23)/($B$6*60)*A40/20*10000</f>
        <v>0.277777777777778</v>
      </c>
    </row>
    <row r="10" customFormat="false" ht="12.8" hidden="false" customHeight="false" outlineLevel="0" collapsed="false">
      <c r="A10" s="2" t="s">
        <v>13</v>
      </c>
      <c r="B10" s="2" t="n">
        <v>14.7</v>
      </c>
      <c r="D10" s="0" t="s">
        <v>14</v>
      </c>
      <c r="E10" s="0" t="n">
        <f aca="false">(E16-B23)/20</f>
        <v>1</v>
      </c>
      <c r="G10" s="4" t="n">
        <f aca="false">($E$16-$B$23)/($B$6*60)*A41/20*10000</f>
        <v>0.333333333333333</v>
      </c>
    </row>
    <row r="11" customFormat="false" ht="12.8" hidden="false" customHeight="false" outlineLevel="0" collapsed="false">
      <c r="A11" s="2" t="s">
        <v>15</v>
      </c>
      <c r="B11" s="2" t="n">
        <v>44000</v>
      </c>
      <c r="G11" s="4" t="n">
        <f aca="false">($E$16-$B$23)/($B$6*60)*A42/20*10000</f>
        <v>0.388888888888889</v>
      </c>
    </row>
    <row r="12" customFormat="false" ht="12.8" hidden="false" customHeight="false" outlineLevel="0" collapsed="false">
      <c r="A12" s="2"/>
      <c r="B12" s="2"/>
      <c r="D12" s="0" t="s">
        <v>16</v>
      </c>
      <c r="E12" s="0" t="n">
        <f aca="false">E8*B11*1000/(E7*E14)</f>
        <v>4171.70352461542</v>
      </c>
      <c r="G12" s="4" t="n">
        <f aca="false">($E$16-$B$23)/($B$6*60)*A43/20*10000</f>
        <v>0.444444444444444</v>
      </c>
    </row>
    <row r="13" customFormat="false" ht="12.8" hidden="false" customHeight="false" outlineLevel="0" collapsed="false">
      <c r="A13" s="1" t="s">
        <v>17</v>
      </c>
      <c r="B13" s="2"/>
      <c r="G13" s="4" t="n">
        <f aca="false">($E$16-$B$23)/($B$6*60)*A44/20*10000</f>
        <v>0.5</v>
      </c>
    </row>
    <row r="14" customFormat="false" ht="12.8" hidden="false" customHeight="false" outlineLevel="0" collapsed="false">
      <c r="A14" s="2" t="s">
        <v>18</v>
      </c>
      <c r="B14" s="2" t="n">
        <v>1</v>
      </c>
      <c r="D14" s="0" t="s">
        <v>19</v>
      </c>
      <c r="E14" s="0" t="n">
        <f aca="false">B19/(B20-1)</f>
        <v>717.5</v>
      </c>
      <c r="G14" s="4" t="n">
        <f aca="false">($E$16-$B$23)/($B$6*60)*A45/20*10000</f>
        <v>0.555555555555556</v>
      </c>
    </row>
    <row r="15" customFormat="false" ht="12.8" hidden="false" customHeight="false" outlineLevel="0" collapsed="false">
      <c r="A15" s="2" t="s">
        <v>20</v>
      </c>
      <c r="B15" s="2" t="n">
        <v>1.7</v>
      </c>
      <c r="G15" s="4" t="n">
        <f aca="false">($E$16-$B$23)/($B$6*60)*A46/20*10000</f>
        <v>0.611111111111111</v>
      </c>
    </row>
    <row r="16" customFormat="false" ht="12.8" hidden="false" customHeight="false" outlineLevel="0" collapsed="false">
      <c r="A16" s="2" t="s">
        <v>21</v>
      </c>
      <c r="B16" s="2" t="n">
        <v>60</v>
      </c>
      <c r="D16" s="5" t="s">
        <v>22</v>
      </c>
      <c r="E16" s="5" t="n">
        <f aca="false">B23+B24</f>
        <v>20</v>
      </c>
      <c r="G16" s="4" t="n">
        <f aca="false">($E$16-$B$23)/($B$6*60)*A47/20*10000</f>
        <v>0.666666666666667</v>
      </c>
    </row>
    <row r="17" customFormat="false" ht="12.8" hidden="false" customHeight="false" outlineLevel="0" collapsed="false">
      <c r="A17" s="2"/>
      <c r="B17" s="2"/>
      <c r="G17" s="4" t="n">
        <f aca="false">($E$16-$B$23)/($B$6*60)*A48/20*10000</f>
        <v>0.722222222222222</v>
      </c>
    </row>
    <row r="18" customFormat="false" ht="12.8" hidden="false" customHeight="false" outlineLevel="0" collapsed="false">
      <c r="A18" s="1" t="s">
        <v>23</v>
      </c>
      <c r="B18" s="2"/>
      <c r="G18" s="4" t="n">
        <f aca="false">($E$16-$B$23)/($B$6*60)*A49/20*10000</f>
        <v>0.777777777777778</v>
      </c>
    </row>
    <row r="19" customFormat="false" ht="12.8" hidden="false" customHeight="false" outlineLevel="0" collapsed="false">
      <c r="A19" s="2" t="s">
        <v>24</v>
      </c>
      <c r="B19" s="2" t="n">
        <v>287</v>
      </c>
      <c r="G19" s="4" t="n">
        <f aca="false">($E$16-$B$23)/($B$6*60)*A50/20*10000</f>
        <v>0.833333333333333</v>
      </c>
    </row>
    <row r="20" customFormat="false" ht="13.05" hidden="false" customHeight="false" outlineLevel="0" collapsed="false">
      <c r="A20" s="2" t="s">
        <v>25</v>
      </c>
      <c r="B20" s="2" t="n">
        <v>1.4</v>
      </c>
      <c r="G20" s="4" t="n">
        <f aca="false">($E$16-$B$23)/($B$6*60)*A51/20*10000</f>
        <v>0.888888888888889</v>
      </c>
    </row>
    <row r="21" customFormat="false" ht="12.8" hidden="false" customHeight="false" outlineLevel="0" collapsed="false">
      <c r="A21" s="2"/>
      <c r="B21" s="2"/>
      <c r="G21" s="4" t="n">
        <f aca="false">($E$16-$B$23)/($B$6*60)*A52/20*10000</f>
        <v>0.944444444444444</v>
      </c>
    </row>
    <row r="22" customFormat="false" ht="12.8" hidden="false" customHeight="false" outlineLevel="0" collapsed="false">
      <c r="A22" s="1" t="s">
        <v>26</v>
      </c>
      <c r="B22" s="2"/>
      <c r="G22" s="4" t="n">
        <f aca="false">($E$16-$B$23)/($B$6*60)*A53/20*10000</f>
        <v>1</v>
      </c>
    </row>
    <row r="23" customFormat="false" ht="12.8" hidden="false" customHeight="false" outlineLevel="0" collapsed="false">
      <c r="A23" s="2" t="s">
        <v>27</v>
      </c>
      <c r="B23" s="2" t="n">
        <v>0</v>
      </c>
      <c r="C23" s="6"/>
      <c r="G23" s="4" t="n">
        <f aca="false">($E$16-$B$23)/($B$6*60)*A54/20*10000</f>
        <v>1.05555555555556</v>
      </c>
    </row>
    <row r="24" customFormat="false" ht="12.8" hidden="false" customHeight="false" outlineLevel="0" collapsed="false">
      <c r="A24" s="7" t="s">
        <v>28</v>
      </c>
      <c r="B24" s="7" t="n">
        <v>20</v>
      </c>
      <c r="G24" s="4" t="n">
        <f aca="false">($E$16-$B$23)/($B$6*60)*A55/20*10000</f>
        <v>1.11111111111111</v>
      </c>
    </row>
    <row r="27" customFormat="false" ht="12.8" hidden="false" customHeight="false" outlineLevel="0" collapsed="false">
      <c r="A27" s="8" t="s">
        <v>29</v>
      </c>
      <c r="B27" s="9" t="n">
        <f aca="false">H57+N67+T67</f>
        <v>1367.71286193983</v>
      </c>
      <c r="D27" s="0" t="s">
        <v>30</v>
      </c>
      <c r="E27" s="4"/>
      <c r="I27" s="4"/>
    </row>
    <row r="28" customFormat="false" ht="12.8" hidden="false" customHeight="false" outlineLevel="0" collapsed="false">
      <c r="A28" s="8" t="s">
        <v>31</v>
      </c>
      <c r="B28" s="10" t="n">
        <f aca="false">E8*B11*1000</f>
        <v>2366.33166227768</v>
      </c>
      <c r="D28" s="4"/>
      <c r="E28" s="4"/>
      <c r="I28" s="4"/>
    </row>
    <row r="29" customFormat="false" ht="12.8" hidden="false" customHeight="false" outlineLevel="0" collapsed="false">
      <c r="A29" s="9" t="s">
        <v>32</v>
      </c>
      <c r="B29" s="9" t="n">
        <f aca="false">B27/B28</f>
        <v>0.57798865803256</v>
      </c>
    </row>
    <row r="32" customFormat="false" ht="12.8" hidden="false" customHeight="false" outlineLevel="0" collapsed="false">
      <c r="A32" s="3" t="s">
        <v>26</v>
      </c>
      <c r="D32" s="4"/>
      <c r="E32" s="4"/>
      <c r="J32" s="3" t="s">
        <v>33</v>
      </c>
      <c r="P32" s="3" t="s">
        <v>34</v>
      </c>
    </row>
    <row r="33" customFormat="false" ht="12.8" hidden="false" customHeight="false" outlineLevel="0" collapsed="false">
      <c r="A33" s="4"/>
      <c r="D33" s="11" t="s">
        <v>35</v>
      </c>
      <c r="E33" s="11"/>
      <c r="F33" s="11" t="s">
        <v>36</v>
      </c>
      <c r="G33" s="11"/>
      <c r="H33" s="0" t="s">
        <v>37</v>
      </c>
      <c r="J33" s="4"/>
      <c r="N33" s="0" t="s">
        <v>37</v>
      </c>
      <c r="T33" s="0" t="s">
        <v>37</v>
      </c>
    </row>
    <row r="34" customFormat="false" ht="12.8" hidden="false" customHeight="false" outlineLevel="0" collapsed="false">
      <c r="A34" s="4" t="s">
        <v>38</v>
      </c>
      <c r="B34" s="4" t="s">
        <v>39</v>
      </c>
      <c r="C34" s="4" t="s">
        <v>40</v>
      </c>
      <c r="D34" s="4" t="s">
        <v>41</v>
      </c>
      <c r="E34" s="4" t="s">
        <v>42</v>
      </c>
      <c r="F34" s="4" t="s">
        <v>43</v>
      </c>
      <c r="G34" s="4" t="s">
        <v>42</v>
      </c>
      <c r="J34" s="4" t="s">
        <v>38</v>
      </c>
      <c r="K34" s="4" t="s">
        <v>40</v>
      </c>
      <c r="L34" s="4" t="s">
        <v>43</v>
      </c>
      <c r="M34" s="4" t="s">
        <v>42</v>
      </c>
      <c r="P34" s="4" t="s">
        <v>38</v>
      </c>
      <c r="Q34" s="4" t="s">
        <v>40</v>
      </c>
      <c r="R34" s="4" t="s">
        <v>43</v>
      </c>
      <c r="S34" s="4" t="s">
        <v>42</v>
      </c>
    </row>
    <row r="35" customFormat="false" ht="12.8" hidden="false" customHeight="false" outlineLevel="0" collapsed="false">
      <c r="A35" s="4" t="n">
        <v>0</v>
      </c>
      <c r="B35" s="4" t="n">
        <f aca="false">$B$23+A35*$E$10</f>
        <v>0</v>
      </c>
      <c r="C35" s="4" t="n">
        <f aca="false">0.5*(1-COS(B35/360*2*PI()))*$E$3+$E$5</f>
        <v>44.4444444444444</v>
      </c>
      <c r="D35" s="4" t="n">
        <f aca="false">$B$15*($E$4/C35)^$B$20</f>
        <v>42.7020693356628</v>
      </c>
      <c r="E35" s="4" t="n">
        <f aca="false">D35*C35/($E$7*$B$19*10)</f>
        <v>836.45818169269</v>
      </c>
      <c r="F35" s="4" t="n">
        <f aca="false">10*($E$7*$B$19*G35)/C35</f>
        <v>42.7020693356629</v>
      </c>
      <c r="G35" s="4" t="n">
        <f aca="false">E35+(A35/$A$55)*$E$12</f>
        <v>836.45818169269</v>
      </c>
      <c r="J35" s="4" t="n">
        <v>0</v>
      </c>
      <c r="K35" s="4" t="n">
        <f aca="false">$E$4-(J35/30)*($E$4-$C$35)</f>
        <v>444.444444444444</v>
      </c>
      <c r="L35" s="4" t="n">
        <f aca="false">$B$15*($E$4/K35)^$B$20</f>
        <v>1.7</v>
      </c>
      <c r="M35" s="4" t="n">
        <f aca="false">L35*K35/($E$7*$B$19)/10</f>
        <v>333</v>
      </c>
      <c r="P35" s="4" t="n">
        <v>0</v>
      </c>
      <c r="Q35" s="4" t="n">
        <f aca="false">$C$55+(P35/30)*($E$4-$C$55)</f>
        <v>56.5059202872628</v>
      </c>
      <c r="R35" s="4" t="n">
        <f aca="false">$F$55*($Q$35/Q35)^$B$20</f>
        <v>198.021733740266</v>
      </c>
      <c r="S35" s="4" t="n">
        <f aca="false">R35*Q35/($E$7*$B$19)/10</f>
        <v>4931.5636330461</v>
      </c>
    </row>
    <row r="36" customFormat="false" ht="12.8" hidden="false" customHeight="false" outlineLevel="0" collapsed="false">
      <c r="A36" s="4" t="n">
        <v>1</v>
      </c>
      <c r="B36" s="4" t="n">
        <f aca="false">$B$23+A36*$E$10</f>
        <v>1</v>
      </c>
      <c r="C36" s="4" t="n">
        <f aca="false">0.5*(1-COS(B36/360*2*PI()))*$E$3+$E$5</f>
        <v>44.4749054131662</v>
      </c>
      <c r="D36" s="4" t="n">
        <f aca="false">$B$15*($E$4/C36)^$B$20</f>
        <v>42.6611294964649</v>
      </c>
      <c r="E36" s="4" t="n">
        <f aca="false">D36*C36/($E$7*$B$19*10)</f>
        <v>836.228977709532</v>
      </c>
      <c r="F36" s="4" t="n">
        <f aca="false">10*($E$7*$B$19*G36)/C36</f>
        <v>53.3023287988345</v>
      </c>
      <c r="G36" s="4" t="n">
        <f aca="false">E36+(A36/$A$55)*$E$12</f>
        <v>1044.8141539403</v>
      </c>
      <c r="H36" s="12" t="n">
        <f aca="false">(C36-C35)*(D35+D36)/20</f>
        <v>0.130012286480689</v>
      </c>
      <c r="J36" s="4" t="n">
        <v>1</v>
      </c>
      <c r="K36" s="4" t="n">
        <f aca="false">$E$4-(J36/30)*($E$4-$C$35)</f>
        <v>431.111111111111</v>
      </c>
      <c r="L36" s="4" t="n">
        <f aca="false">$B$15*($E$4/K36)^$B$20</f>
        <v>1.77406077411807</v>
      </c>
      <c r="M36" s="4" t="n">
        <f aca="false">L36*K36/($E$7*$B$19)/10</f>
        <v>337.081982734046</v>
      </c>
      <c r="N36" s="13" t="n">
        <f aca="false">(K36-K35)*(L35+L36)/20</f>
        <v>-2.31604051607871</v>
      </c>
      <c r="P36" s="4" t="n">
        <v>1</v>
      </c>
      <c r="Q36" s="4" t="n">
        <f aca="false">$C$55+(P36/30)*($E$4-$C$55)</f>
        <v>69.4372044258355</v>
      </c>
      <c r="R36" s="4" t="n">
        <f aca="false">$F$55*($Q$35/Q36)^$B$20</f>
        <v>148.393635028698</v>
      </c>
      <c r="S36" s="4" t="n">
        <f aca="false">R36*Q36/($E$7*$B$19)/10</f>
        <v>4541.35373462185</v>
      </c>
      <c r="T36" s="14" t="n">
        <f aca="false">(Q36-Q35)*(R35+R36)/20</f>
        <v>223.979778175996</v>
      </c>
    </row>
    <row r="37" customFormat="false" ht="12.8" hidden="false" customHeight="false" outlineLevel="0" collapsed="false">
      <c r="A37" s="4" t="n">
        <v>2</v>
      </c>
      <c r="B37" s="4" t="n">
        <f aca="false">$B$23+A37*$E$10</f>
        <v>2</v>
      </c>
      <c r="C37" s="4" t="n">
        <f aca="false">0.5*(1-COS(B37/360*2*PI()))*$E$3+$E$5</f>
        <v>44.5662790406253</v>
      </c>
      <c r="D37" s="4" t="n">
        <f aca="false">$B$15*($E$4/C37)^$B$20</f>
        <v>42.5387251945792</v>
      </c>
      <c r="E37" s="4" t="n">
        <f aca="false">D37*C37/($E$7*$B$19*10)</f>
        <v>835.542751922223</v>
      </c>
      <c r="F37" s="4" t="n">
        <f aca="false">10*($E$7*$B$19*G37)/C37</f>
        <v>63.7774887908902</v>
      </c>
      <c r="G37" s="4" t="n">
        <f aca="false">E37+(A37/$A$55)*$E$12</f>
        <v>1252.71310438376</v>
      </c>
      <c r="H37" s="12" t="n">
        <f aca="false">(C37-C36)*(D36+D37)/20</f>
        <v>0.389250989105441</v>
      </c>
      <c r="J37" s="4" t="n">
        <v>2</v>
      </c>
      <c r="K37" s="4" t="n">
        <f aca="false">$E$4-(J37/30)*($E$4-$C$35)</f>
        <v>417.777777777778</v>
      </c>
      <c r="L37" s="4" t="n">
        <f aca="false">$B$15*($E$4/K37)^$B$20</f>
        <v>1.85383008706203</v>
      </c>
      <c r="M37" s="4" t="n">
        <f aca="false">L37*K37/($E$7*$B$19)/10</f>
        <v>341.344643442446</v>
      </c>
      <c r="N37" s="13" t="n">
        <f aca="false">(K37-K36)*(L36+L37)/20</f>
        <v>-2.41859390745341</v>
      </c>
      <c r="P37" s="4" t="n">
        <v>2</v>
      </c>
      <c r="Q37" s="4" t="n">
        <f aca="false">$C$55+(P37/30)*($E$4-$C$55)</f>
        <v>82.3684885644082</v>
      </c>
      <c r="R37" s="4" t="n">
        <f aca="false">$F$55*($Q$35/Q37)^$B$20</f>
        <v>116.836585495854</v>
      </c>
      <c r="S37" s="4" t="n">
        <f aca="false">R37*Q37/($E$7*$B$19)/10</f>
        <v>4241.48351618976</v>
      </c>
      <c r="T37" s="14" t="n">
        <f aca="false">(Q37-Q36)*(R36+R37)/20</f>
        <v>171.488367186964</v>
      </c>
    </row>
    <row r="38" customFormat="false" ht="12.8" hidden="false" customHeight="false" outlineLevel="0" collapsed="false">
      <c r="A38" s="4" t="n">
        <v>3</v>
      </c>
      <c r="B38" s="4" t="n">
        <f aca="false">$B$23+A38*$E$10</f>
        <v>3</v>
      </c>
      <c r="C38" s="4" t="n">
        <f aca="false">0.5*(1-COS(B38/360*2*PI()))*$E$3+$E$5</f>
        <v>44.7185374935297</v>
      </c>
      <c r="D38" s="4" t="n">
        <f aca="false">$B$15*($E$4/C38)^$B$20</f>
        <v>42.3360921423358</v>
      </c>
      <c r="E38" s="4" t="n">
        <f aca="false">D38*C38/($E$7*$B$19*10)</f>
        <v>834.4036392674</v>
      </c>
      <c r="F38" s="4" t="n">
        <f aca="false">10*($E$7*$B$19*G38)/C38</f>
        <v>74.0857663702114</v>
      </c>
      <c r="G38" s="4" t="n">
        <f aca="false">E38+(A38/$A$55)*$E$12</f>
        <v>1460.15916795971</v>
      </c>
      <c r="H38" s="12" t="n">
        <f aca="false">(C38-C37)*(D37+D38)/20</f>
        <v>0.646145418913043</v>
      </c>
      <c r="J38" s="4" t="n">
        <v>3</v>
      </c>
      <c r="K38" s="4" t="n">
        <f aca="false">$E$4-(J38/30)*($E$4-$C$35)</f>
        <v>404.444444444444</v>
      </c>
      <c r="L38" s="4" t="n">
        <f aca="false">$B$15*($E$4/K38)^$B$20</f>
        <v>1.93995194533372</v>
      </c>
      <c r="M38" s="4" t="n">
        <f aca="false">L38*K38/($E$7*$B$19)/10</f>
        <v>345.802139996751</v>
      </c>
      <c r="N38" s="13" t="n">
        <f aca="false">(K38-K37)*(L37+L38)/20</f>
        <v>-2.52918802159717</v>
      </c>
      <c r="P38" s="4" t="n">
        <v>3</v>
      </c>
      <c r="Q38" s="4" t="n">
        <f aca="false">$C$55+(P38/30)*($E$4-$C$55)</f>
        <v>95.2997727029809</v>
      </c>
      <c r="R38" s="4" t="n">
        <f aca="false">$F$55*($Q$35/Q38)^$B$20</f>
        <v>95.2611415026638</v>
      </c>
      <c r="S38" s="4" t="n">
        <f aca="false">R38*Q38/($E$7*$B$19)/10</f>
        <v>4001.15592683724</v>
      </c>
      <c r="T38" s="14" t="n">
        <f aca="false">(Q38-Q37)*(R37+R38)/20</f>
        <v>137.134798648163</v>
      </c>
    </row>
    <row r="39" customFormat="false" ht="12.8" hidden="false" customHeight="false" outlineLevel="0" collapsed="false">
      <c r="A39" s="4" t="n">
        <v>4</v>
      </c>
      <c r="B39" s="4" t="n">
        <f aca="false">$B$23+A39*$E$10</f>
        <v>4</v>
      </c>
      <c r="C39" s="4" t="n">
        <f aca="false">0.5*(1-COS(B39/360*2*PI()))*$E$3+$E$5</f>
        <v>44.9316343924796</v>
      </c>
      <c r="D39" s="4" t="n">
        <f aca="false">$B$15*($E$4/C39)^$B$20</f>
        <v>42.0552571732289</v>
      </c>
      <c r="E39" s="4" t="n">
        <f aca="false">D39*C39/($E$7*$B$19*10)</f>
        <v>832.818453595428</v>
      </c>
      <c r="F39" s="4" t="n">
        <f aca="false">10*($E$7*$B$19*G39)/C39</f>
        <v>84.1873842462426</v>
      </c>
      <c r="G39" s="4" t="n">
        <f aca="false">E39+(A39/$A$55)*$E$12</f>
        <v>1667.15915851851</v>
      </c>
      <c r="H39" s="12" t="n">
        <f aca="false">(C39-C38)*(D38+D39)/20</f>
        <v>0.899176741867348</v>
      </c>
      <c r="J39" s="4" t="n">
        <v>4</v>
      </c>
      <c r="K39" s="4" t="n">
        <f aca="false">$E$4-(J39/30)*($E$4-$C$35)</f>
        <v>391.111111111111</v>
      </c>
      <c r="L39" s="4" t="n">
        <f aca="false">$B$15*($E$4/K39)^$B$20</f>
        <v>2.03316760037318</v>
      </c>
      <c r="M39" s="4" t="n">
        <f aca="false">L39*K39/($E$7*$B$19)/10</f>
        <v>350.470255066681</v>
      </c>
      <c r="N39" s="13" t="n">
        <f aca="false">(K39-K38)*(L38+L39)/20</f>
        <v>-2.6487463638046</v>
      </c>
      <c r="P39" s="4" t="n">
        <v>4</v>
      </c>
      <c r="Q39" s="4" t="n">
        <f aca="false">$C$55+(P39/30)*($E$4-$C$55)</f>
        <v>108.231056841554</v>
      </c>
      <c r="R39" s="4" t="n">
        <f aca="false">$F$55*($Q$35/Q39)^$B$20</f>
        <v>79.7171443974473</v>
      </c>
      <c r="S39" s="4" t="n">
        <f aca="false">R39*Q39/($E$7*$B$19)/10</f>
        <v>3802.60716870879</v>
      </c>
      <c r="T39" s="14" t="n">
        <f aca="false">(Q39-Q38)*(R38+R39)/20</f>
        <v>113.134696652737</v>
      </c>
    </row>
    <row r="40" customFormat="false" ht="12.8" hidden="false" customHeight="false" outlineLevel="0" collapsed="false">
      <c r="A40" s="4" t="n">
        <v>5</v>
      </c>
      <c r="B40" s="4" t="n">
        <f aca="false">$B$23+A40*$E$10</f>
        <v>5</v>
      </c>
      <c r="C40" s="4" t="n">
        <f aca="false">0.5*(1-COS(B40/360*2*PI()))*$E$3+$E$5</f>
        <v>45.2055048260953</v>
      </c>
      <c r="D40" s="4" t="n">
        <f aca="false">$B$15*($E$4/C40)^$B$20</f>
        <v>41.6989906835129</v>
      </c>
      <c r="E40" s="4" t="n">
        <f aca="false">D40*C40/($E$7*$B$19*10)</f>
        <v>830.796573821585</v>
      </c>
      <c r="F40" s="4" t="n">
        <f aca="false">10*($E$7*$B$19*G40)/C40</f>
        <v>94.0450859517974</v>
      </c>
      <c r="G40" s="4" t="n">
        <f aca="false">E40+(A40/$A$55)*$E$12</f>
        <v>1873.72245497544</v>
      </c>
      <c r="H40" s="12" t="n">
        <f aca="false">(C40-C39)*(D39+D40)/20</f>
        <v>1.14689060888428</v>
      </c>
      <c r="J40" s="4" t="n">
        <v>5</v>
      </c>
      <c r="K40" s="4" t="n">
        <f aca="false">$E$4-(J40/30)*($E$4-$C$35)</f>
        <v>377.777777777778</v>
      </c>
      <c r="L40" s="4" t="n">
        <f aca="false">$B$15*($E$4/K40)^$B$20</f>
        <v>2.13433420945707</v>
      </c>
      <c r="M40" s="4" t="n">
        <f aca="false">L40*K40/($E$7*$B$19)/10</f>
        <v>355.366645874602</v>
      </c>
      <c r="N40" s="13" t="n">
        <f aca="false">(K40-K39)*(L39+L40)/20</f>
        <v>-2.77833453988683</v>
      </c>
      <c r="P40" s="4" t="n">
        <v>5</v>
      </c>
      <c r="Q40" s="4" t="n">
        <f aca="false">$C$55+(P40/30)*($E$4-$C$55)</f>
        <v>121.162340980126</v>
      </c>
      <c r="R40" s="4" t="n">
        <f aca="false">$F$55*($Q$35/Q40)^$B$20</f>
        <v>68.0659129530888</v>
      </c>
      <c r="S40" s="4" t="n">
        <f aca="false">R40*Q40/($E$7*$B$19)/10</f>
        <v>3634.75514514327</v>
      </c>
      <c r="T40" s="14" t="n">
        <f aca="false">(Q40-Q39)*(R39+R40)/20</f>
        <v>95.5512352733384</v>
      </c>
    </row>
    <row r="41" customFormat="false" ht="12.8" hidden="false" customHeight="false" outlineLevel="0" collapsed="false">
      <c r="A41" s="4" t="n">
        <v>6</v>
      </c>
      <c r="B41" s="4" t="n">
        <f aca="false">$B$23+A41*$E$10</f>
        <v>6</v>
      </c>
      <c r="C41" s="4" t="n">
        <f aca="false">0.5*(1-COS(B41/360*2*PI()))*$E$3+$E$5</f>
        <v>45.5400653707898</v>
      </c>
      <c r="D41" s="4" t="n">
        <f aca="false">$B$15*($E$4/C41)^$B$20</f>
        <v>41.2707428930671</v>
      </c>
      <c r="E41" s="4" t="n">
        <f aca="false">D41*C41/($E$7*$B$19*10)</f>
        <v>828.349789818565</v>
      </c>
      <c r="F41" s="4" t="n">
        <f aca="false">10*($E$7*$B$19*G41)/C41</f>
        <v>103.624583881503</v>
      </c>
      <c r="G41" s="4" t="n">
        <f aca="false">E41+(A41/$A$55)*$E$12</f>
        <v>2079.86084720319</v>
      </c>
      <c r="H41" s="12" t="n">
        <f aca="false">(C41-C40)*(D40+D41)/20</f>
        <v>1.38791996292669</v>
      </c>
      <c r="J41" s="4" t="n">
        <v>6</v>
      </c>
      <c r="K41" s="4" t="n">
        <f aca="false">$E$4-(J41/30)*($E$4-$C$35)</f>
        <v>364.444444444444</v>
      </c>
      <c r="L41" s="4" t="n">
        <f aca="false">$B$15*($E$4/K41)^$B$20</f>
        <v>2.24444789686188</v>
      </c>
      <c r="M41" s="4" t="n">
        <f aca="false">L41*K41/($E$7*$B$19)/10</f>
        <v>360.511142774767</v>
      </c>
      <c r="N41" s="13" t="n">
        <f aca="false">(K41-K40)*(L40+L41)/20</f>
        <v>-2.91918807087931</v>
      </c>
      <c r="P41" s="4" t="n">
        <v>6</v>
      </c>
      <c r="Q41" s="4" t="n">
        <f aca="false">$C$55+(P41/30)*($E$4-$C$55)</f>
        <v>134.093625118699</v>
      </c>
      <c r="R41" s="4" t="n">
        <f aca="false">$F$55*($Q$35/Q41)^$B$20</f>
        <v>59.0572210904765</v>
      </c>
      <c r="S41" s="4" t="n">
        <f aca="false">R41*Q41/($E$7*$B$19)/10</f>
        <v>3490.2695596734</v>
      </c>
      <c r="T41" s="14" t="n">
        <f aca="false">(Q41-Q40)*(R40+R41)/20</f>
        <v>82.1932683451606</v>
      </c>
    </row>
    <row r="42" customFormat="false" ht="12.8" hidden="false" customHeight="false" outlineLevel="0" collapsed="false">
      <c r="A42" s="4" t="n">
        <v>7</v>
      </c>
      <c r="B42" s="4" t="n">
        <f aca="false">$B$23+A42*$E$10</f>
        <v>7</v>
      </c>
      <c r="C42" s="4" t="n">
        <f aca="false">0.5*(1-COS(B42/360*2*PI()))*$E$3+$E$5</f>
        <v>45.93521411618</v>
      </c>
      <c r="D42" s="4" t="n">
        <f aca="false">$B$15*($E$4/C42)^$B$20</f>
        <v>40.7745665407714</v>
      </c>
      <c r="E42" s="4" t="n">
        <f aca="false">D42*C42/($E$7*$B$19*10)</f>
        <v>825.492112985392</v>
      </c>
      <c r="F42" s="4" t="n">
        <f aca="false">10*($E$7*$B$19*G42)/C42</f>
        <v>112.894929772557</v>
      </c>
      <c r="G42" s="4" t="n">
        <f aca="false">E42+(A42/$A$55)*$E$12</f>
        <v>2285.58834660079</v>
      </c>
      <c r="H42" s="12" t="n">
        <f aca="false">(C42-C41)*(D41+D42)/20</f>
        <v>1.62100505439687</v>
      </c>
      <c r="J42" s="4" t="n">
        <v>7</v>
      </c>
      <c r="K42" s="4" t="n">
        <f aca="false">$E$4-(J42/30)*($E$4-$C$35)</f>
        <v>351.111111111111</v>
      </c>
      <c r="L42" s="4" t="n">
        <f aca="false">$B$15*($E$4/K42)^$B$20</f>
        <v>2.36467246083624</v>
      </c>
      <c r="M42" s="4" t="n">
        <f aca="false">L42*K42/($E$7*$B$19)/10</f>
        <v>365.926108395405</v>
      </c>
      <c r="N42" s="13" t="n">
        <f aca="false">(K42-K41)*(L41+L42)/20</f>
        <v>-3.07274690513207</v>
      </c>
      <c r="P42" s="4" t="n">
        <v>7</v>
      </c>
      <c r="Q42" s="4" t="n">
        <f aca="false">$C$55+(P42/30)*($E$4-$C$55)</f>
        <v>147.024909257272</v>
      </c>
      <c r="R42" s="4" t="n">
        <f aca="false">$F$55*($Q$35/Q42)^$B$20</f>
        <v>51.9155075223367</v>
      </c>
      <c r="S42" s="4" t="n">
        <f aca="false">R42*Q42/($E$7*$B$19)/10</f>
        <v>3364.07643076511</v>
      </c>
      <c r="T42" s="14" t="n">
        <f aca="false">(Q42-Q41)*(R41+R42)/20</f>
        <v>71.7509942662503</v>
      </c>
    </row>
    <row r="43" customFormat="false" ht="12.8" hidden="false" customHeight="false" outlineLevel="0" collapsed="false">
      <c r="A43" s="4" t="n">
        <v>8</v>
      </c>
      <c r="B43" s="4" t="n">
        <f aca="false">$B$23+A43*$E$10</f>
        <v>8</v>
      </c>
      <c r="C43" s="4" t="n">
        <f aca="false">0.5*(1-COS(B43/360*2*PI()))*$E$3+$E$5</f>
        <v>46.3908306961304</v>
      </c>
      <c r="D43" s="4" t="n">
        <f aca="false">$B$15*($E$4/C43)^$B$20</f>
        <v>40.2150290763932</v>
      </c>
      <c r="E43" s="4" t="n">
        <f aca="false">D43*C43/($E$7*$B$19*10)</f>
        <v>822.23955737541</v>
      </c>
      <c r="F43" s="4" t="n">
        <f aca="false">10*($E$7*$B$19*G43)/C43</f>
        <v>121.828800652165</v>
      </c>
      <c r="G43" s="4" t="n">
        <f aca="false">E43+(A43/$A$55)*$E$12</f>
        <v>2490.92096722158</v>
      </c>
      <c r="H43" s="12" t="n">
        <f aca="false">(C43-C42)*(D42+D43)/20</f>
        <v>1.84501012833261</v>
      </c>
      <c r="J43" s="4" t="n">
        <v>8</v>
      </c>
      <c r="K43" s="4" t="n">
        <f aca="false">$E$4-(J43/30)*($E$4-$C$35)</f>
        <v>337.777777777778</v>
      </c>
      <c r="L43" s="4" t="n">
        <f aca="false">$B$15*($E$4/K43)^$B$20</f>
        <v>2.49637538803105</v>
      </c>
      <c r="M43" s="4" t="n">
        <f aca="false">L43*K43/($E$7*$B$19)/10</f>
        <v>371.636872472294</v>
      </c>
      <c r="N43" s="13" t="n">
        <f aca="false">(K43-K42)*(L42+L43)/20</f>
        <v>-3.24069856591154</v>
      </c>
      <c r="P43" s="4" t="n">
        <v>8</v>
      </c>
      <c r="Q43" s="4" t="n">
        <f aca="false">$C$55+(P43/30)*($E$4-$C$55)</f>
        <v>159.956193395845</v>
      </c>
      <c r="R43" s="4" t="n">
        <f aca="false">$F$55*($Q$35/Q43)^$B$20</f>
        <v>46.136315422571</v>
      </c>
      <c r="S43" s="4" t="n">
        <f aca="false">R43*Q43/($E$7*$B$19)/10</f>
        <v>3252.5336483436</v>
      </c>
      <c r="T43" s="14" t="n">
        <f aca="false">(Q43-Q42)*(R42+R43)/20</f>
        <v>63.3967991402813</v>
      </c>
    </row>
    <row r="44" customFormat="false" ht="12.8" hidden="false" customHeight="false" outlineLevel="0" collapsed="false">
      <c r="A44" s="4" t="n">
        <v>9</v>
      </c>
      <c r="B44" s="4" t="n">
        <f aca="false">$B$23+A44*$E$10</f>
        <v>9</v>
      </c>
      <c r="C44" s="4" t="n">
        <f aca="false">0.5*(1-COS(B44/360*2*PI()))*$E$3+$E$5</f>
        <v>46.9067763254169</v>
      </c>
      <c r="D44" s="4" t="n">
        <f aca="false">$B$15*($E$4/C44)^$B$20</f>
        <v>39.5971176716582</v>
      </c>
      <c r="E44" s="4" t="n">
        <f aca="false">D44*C44/($E$7*$B$19*10)</f>
        <v>818.60989791791</v>
      </c>
      <c r="F44" s="4" t="n">
        <f aca="false">10*($E$7*$B$19*G44)/C44</f>
        <v>130.402696860263</v>
      </c>
      <c r="G44" s="4" t="n">
        <f aca="false">E44+(A44/$A$55)*$E$12</f>
        <v>2695.87648399485</v>
      </c>
      <c r="H44" s="12" t="n">
        <f aca="false">(C44-C43)*(D43+D44)/20</f>
        <v>2.05893641393155</v>
      </c>
      <c r="J44" s="4" t="n">
        <v>9</v>
      </c>
      <c r="K44" s="4" t="n">
        <f aca="false">$E$4-(J44/30)*($E$4-$C$35)</f>
        <v>324.444444444444</v>
      </c>
      <c r="L44" s="4" t="n">
        <f aca="false">$B$15*($E$4/K44)^$B$20</f>
        <v>2.6411734151338</v>
      </c>
      <c r="M44" s="4" t="n">
        <f aca="false">L44*K44/($E$7*$B$19)/10</f>
        <v>377.672262049927</v>
      </c>
      <c r="N44" s="13" t="n">
        <f aca="false">(K44-K43)*(L43+L44)/20</f>
        <v>-3.42503253544323</v>
      </c>
      <c r="P44" s="4" t="n">
        <v>9</v>
      </c>
      <c r="Q44" s="4" t="n">
        <f aca="false">$C$55+(P44/30)*($E$4-$C$55)</f>
        <v>172.887477534417</v>
      </c>
      <c r="R44" s="4" t="n">
        <f aca="false">$F$55*($Q$35/Q44)^$B$20</f>
        <v>41.3785662996772</v>
      </c>
      <c r="S44" s="4" t="n">
        <f aca="false">R44*Q44/($E$7*$B$19)/10</f>
        <v>3152.94799217219</v>
      </c>
      <c r="T44" s="14" t="n">
        <f aca="false">(Q44-Q43)*(R43+R44)/20</f>
        <v>56.5839900951988</v>
      </c>
    </row>
    <row r="45" customFormat="false" ht="12.8" hidden="false" customHeight="false" outlineLevel="0" collapsed="false">
      <c r="A45" s="4" t="n">
        <v>10</v>
      </c>
      <c r="B45" s="4" t="n">
        <f aca="false">$B$23+A45*$E$10</f>
        <v>10</v>
      </c>
      <c r="C45" s="4" t="n">
        <f aca="false">0.5*(1-COS(B45/360*2*PI()))*$E$3+$E$5</f>
        <v>47.4828938420028</v>
      </c>
      <c r="D45" s="4" t="n">
        <f aca="false">$B$15*($E$4/C45)^$B$20</f>
        <v>38.9261404438251</v>
      </c>
      <c r="E45" s="4" t="n">
        <f aca="false">D45*C45/($E$7*$B$19*10)</f>
        <v>814.622412608235</v>
      </c>
      <c r="F45" s="4" t="n">
        <f aca="false">10*($E$7*$B$19*G45)/C45</f>
        <v>138.597052252677</v>
      </c>
      <c r="G45" s="4" t="n">
        <f aca="false">E45+(A45/$A$55)*$E$12</f>
        <v>2900.47417491594</v>
      </c>
      <c r="H45" s="12" t="n">
        <f aca="false">(C45-C44)*(D44+D45)/20</f>
        <v>2.2619312229865</v>
      </c>
      <c r="J45" s="4" t="n">
        <v>10</v>
      </c>
      <c r="K45" s="4" t="n">
        <f aca="false">$E$4-(J45/30)*($E$4-$C$35)</f>
        <v>311.111111111111</v>
      </c>
      <c r="L45" s="4" t="n">
        <f aca="false">$B$15*($E$4/K45)^$B$20</f>
        <v>2.80099069032736</v>
      </c>
      <c r="M45" s="4" t="n">
        <f aca="false">L45*K45/($E$7*$B$19)/10</f>
        <v>384.065252891357</v>
      </c>
      <c r="N45" s="13" t="n">
        <f aca="false">(K45-K44)*(L44+L45)/20</f>
        <v>-3.62810940364077</v>
      </c>
      <c r="P45" s="4" t="n">
        <v>10</v>
      </c>
      <c r="Q45" s="4" t="n">
        <f aca="false">$C$55+(P45/30)*($E$4-$C$55)</f>
        <v>185.81876167299</v>
      </c>
      <c r="R45" s="4" t="n">
        <f aca="false">$F$55*($Q$35/Q45)^$B$20</f>
        <v>37.4040824712901</v>
      </c>
      <c r="S45" s="4" t="n">
        <f aca="false">R45*Q45/($E$7*$B$19)/10</f>
        <v>3063.27789972493</v>
      </c>
      <c r="T45" s="14" t="n">
        <f aca="false">(Q45-Q44)*(R44+R45)/20</f>
        <v>50.9380408223378</v>
      </c>
    </row>
    <row r="46" customFormat="false" ht="12.8" hidden="false" customHeight="false" outlineLevel="0" collapsed="false">
      <c r="A46" s="4" t="n">
        <v>11</v>
      </c>
      <c r="B46" s="4" t="n">
        <f aca="false">$B$23+A46*$E$10</f>
        <v>11</v>
      </c>
      <c r="C46" s="4" t="n">
        <f aca="false">0.5*(1-COS(B46/360*2*PI()))*$E$3+$E$5</f>
        <v>48.1190077549117</v>
      </c>
      <c r="D46" s="4" t="n">
        <f aca="false">$B$15*($E$4/C46)^$B$20</f>
        <v>38.2076271767021</v>
      </c>
      <c r="E46" s="4" t="n">
        <f aca="false">D46*C46/($E$7*$B$19*10)</f>
        <v>810.297615575334</v>
      </c>
      <c r="F46" s="4" t="n">
        <f aca="false">10*($E$7*$B$19*G46)/C46</f>
        <v>146.396259900109</v>
      </c>
      <c r="G46" s="4" t="n">
        <f aca="false">E46+(A46/$A$55)*$E$12</f>
        <v>3104.73455411382</v>
      </c>
      <c r="H46" s="12" t="n">
        <f aca="false">(C46-C45)*(D45+D46)/20</f>
        <v>2.45329313692463</v>
      </c>
      <c r="J46" s="4" t="n">
        <v>11</v>
      </c>
      <c r="K46" s="4" t="n">
        <f aca="false">$E$4-(J46/30)*($E$4-$C$35)</f>
        <v>297.777777777778</v>
      </c>
      <c r="L46" s="4" t="n">
        <f aca="false">$B$15*($E$4/K46)^$B$20</f>
        <v>2.97813374509141</v>
      </c>
      <c r="M46" s="4" t="n">
        <f aca="false">L46*K46/($E$7*$B$19)/10</f>
        <v>390.853776392556</v>
      </c>
      <c r="N46" s="13" t="n">
        <f aca="false">(K46-K45)*(L45+L46)/20</f>
        <v>-3.85274962361251</v>
      </c>
      <c r="P46" s="4" t="n">
        <v>11</v>
      </c>
      <c r="Q46" s="4" t="n">
        <f aca="false">$C$55+(P46/30)*($E$4-$C$55)</f>
        <v>198.750045811563</v>
      </c>
      <c r="R46" s="4" t="n">
        <f aca="false">$F$55*($Q$35/Q46)^$B$20</f>
        <v>34.0419366858707</v>
      </c>
      <c r="S46" s="4" t="n">
        <f aca="false">R46*Q46/($E$7*$B$19)/10</f>
        <v>2981.94292912734</v>
      </c>
      <c r="T46" s="14" t="n">
        <f aca="false">(Q46-Q45)*(R45+R46)/20</f>
        <v>46.1944387145578</v>
      </c>
    </row>
    <row r="47" customFormat="false" ht="12.8" hidden="false" customHeight="false" outlineLevel="0" collapsed="false">
      <c r="A47" s="4" t="n">
        <v>12</v>
      </c>
      <c r="B47" s="4" t="n">
        <f aca="false">$B$23+A47*$E$10</f>
        <v>12</v>
      </c>
      <c r="C47" s="4" t="n">
        <f aca="false">0.5*(1-COS(B47/360*2*PI()))*$E$3+$E$5</f>
        <v>48.8149242976833</v>
      </c>
      <c r="D47" s="4" t="n">
        <f aca="false">$B$15*($E$4/C47)^$B$20</f>
        <v>37.4472325601588</v>
      </c>
      <c r="E47" s="4" t="n">
        <f aca="false">D47*C47/($E$7*$B$19*10)</f>
        <v>805.656987687932</v>
      </c>
      <c r="F47" s="4" t="n">
        <f aca="false">10*($E$7*$B$19*G47)/C47</f>
        <v>153.788619362964</v>
      </c>
      <c r="G47" s="4" t="n">
        <f aca="false">E47+(A47/$A$55)*$E$12</f>
        <v>3308.67910245718</v>
      </c>
      <c r="H47" s="12" t="n">
        <f aca="false">(C47-C46)*(D46+D47)/20</f>
        <v>2.63247342159754</v>
      </c>
      <c r="J47" s="4" t="n">
        <v>12</v>
      </c>
      <c r="K47" s="4" t="n">
        <f aca="false">$E$4-(J47/30)*($E$4-$C$35)</f>
        <v>284.444444444444</v>
      </c>
      <c r="L47" s="4" t="n">
        <f aca="false">$B$15*($E$4/K47)^$B$20</f>
        <v>3.17538915945911</v>
      </c>
      <c r="M47" s="4" t="n">
        <f aca="false">L47*K47/($E$7*$B$19)/10</f>
        <v>398.081728037603</v>
      </c>
      <c r="N47" s="13" t="n">
        <f aca="false">(K47-K46)*(L46+L47)/20</f>
        <v>-4.10234860303369</v>
      </c>
      <c r="P47" s="4" t="n">
        <v>12</v>
      </c>
      <c r="Q47" s="4" t="n">
        <f aca="false">$C$55+(P47/30)*($E$4-$C$55)</f>
        <v>211.681329950135</v>
      </c>
      <c r="R47" s="4" t="n">
        <f aca="false">$F$55*($Q$35/Q47)^$B$20</f>
        <v>31.166556027333</v>
      </c>
      <c r="S47" s="4" t="n">
        <f aca="false">R47*Q47/($E$7*$B$19)/10</f>
        <v>2907.69734638298</v>
      </c>
      <c r="T47" s="14" t="n">
        <f aca="false">(Q47-Q46)*(R46+R47)/20</f>
        <v>42.1614773761243</v>
      </c>
    </row>
    <row r="48" customFormat="false" ht="12.8" hidden="false" customHeight="false" outlineLevel="0" collapsed="false">
      <c r="A48" s="4" t="n">
        <v>13</v>
      </c>
      <c r="B48" s="4" t="n">
        <f aca="false">$B$23+A48*$E$10</f>
        <v>13</v>
      </c>
      <c r="C48" s="4" t="n">
        <f aca="false">0.5*(1-COS(B48/360*2*PI()))*$E$3+$E$5</f>
        <v>49.5704314873974</v>
      </c>
      <c r="D48" s="4" t="n">
        <f aca="false">$B$15*($E$4/C48)^$B$20</f>
        <v>36.650644582361</v>
      </c>
      <c r="E48" s="4" t="n">
        <f aca="false">D48*C48/($E$7*$B$19*10)</f>
        <v>800.722710870283</v>
      </c>
      <c r="F48" s="4" t="n">
        <f aca="false">10*($E$7*$B$19*G48)/C48</f>
        <v>160.766213830253</v>
      </c>
      <c r="G48" s="4" t="n">
        <f aca="false">E48+(A48/$A$55)*$E$12</f>
        <v>3512.33000187031</v>
      </c>
      <c r="H48" s="12" t="n">
        <f aca="false">(C48-C47)*(D47+D48)/20</f>
        <v>2.79907394618624</v>
      </c>
      <c r="J48" s="4" t="n">
        <v>13</v>
      </c>
      <c r="K48" s="4" t="n">
        <f aca="false">$E$4-(J48/30)*($E$4-$C$35)</f>
        <v>271.111111111111</v>
      </c>
      <c r="L48" s="4" t="n">
        <f aca="false">$B$15*($E$4/K48)^$B$20</f>
        <v>3.39615225680323</v>
      </c>
      <c r="M48" s="4" t="n">
        <f aca="false">L48*K48/($E$7*$B$19)/10</f>
        <v>405.800239955553</v>
      </c>
      <c r="N48" s="13" t="n">
        <f aca="false">(K48-K47)*(L47+L48)/20</f>
        <v>-4.38102761084157</v>
      </c>
      <c r="P48" s="4" t="n">
        <v>13</v>
      </c>
      <c r="Q48" s="4" t="n">
        <f aca="false">$C$55+(P48/30)*($E$4-$C$55)</f>
        <v>224.612614088708</v>
      </c>
      <c r="R48" s="4" t="n">
        <f aca="false">$F$55*($Q$35/Q48)^$B$20</f>
        <v>28.6837938678653</v>
      </c>
      <c r="S48" s="4" t="n">
        <f aca="false">R48*Q48/($E$7*$B$19)/10</f>
        <v>2839.54375620011</v>
      </c>
      <c r="T48" s="14" t="n">
        <f aca="false">(Q48-Q47)*(R47+R48)/20</f>
        <v>38.6970940143903</v>
      </c>
    </row>
    <row r="49" customFormat="false" ht="12.8" hidden="false" customHeight="false" outlineLevel="0" collapsed="false">
      <c r="A49" s="4" t="n">
        <v>14</v>
      </c>
      <c r="B49" s="4" t="n">
        <f aca="false">$B$23+A49*$E$10</f>
        <v>14</v>
      </c>
      <c r="C49" s="4" t="n">
        <f aca="false">0.5*(1-COS(B49/360*2*PI()))*$E$3+$E$5</f>
        <v>50.3852991892452</v>
      </c>
      <c r="D49" s="4" t="n">
        <f aca="false">$B$15*($E$4/C49)^$B$20</f>
        <v>35.823500236859</v>
      </c>
      <c r="E49" s="4" t="n">
        <f aca="false">D49*C49/($E$7*$B$19*10)</f>
        <v>795.517411615895</v>
      </c>
      <c r="F49" s="4" t="n">
        <f aca="false">10*($E$7*$B$19*G49)/C49</f>
        <v>167.324727003253</v>
      </c>
      <c r="G49" s="4" t="n">
        <f aca="false">E49+(A49/$A$55)*$E$12</f>
        <v>3715.70987884669</v>
      </c>
      <c r="H49" s="12" t="n">
        <f aca="false">(C49-C48)*(D48+D49)/20</f>
        <v>2.95284199161095</v>
      </c>
      <c r="J49" s="4" t="n">
        <v>14</v>
      </c>
      <c r="K49" s="4" t="n">
        <f aca="false">$E$4-(J49/30)*($E$4-$C$35)</f>
        <v>257.777777777778</v>
      </c>
      <c r="L49" s="4" t="n">
        <f aca="false">$B$15*($E$4/K49)^$B$20</f>
        <v>3.64459882137552</v>
      </c>
      <c r="M49" s="4" t="n">
        <f aca="false">L49*K49/($E$7*$B$19)/10</f>
        <v>414.069303741452</v>
      </c>
      <c r="N49" s="13" t="n">
        <f aca="false">(K49-K48)*(L48+L49)/20</f>
        <v>-4.69383405211914</v>
      </c>
      <c r="P49" s="4" t="n">
        <v>14</v>
      </c>
      <c r="Q49" s="4" t="n">
        <f aca="false">$C$55+(P49/30)*($E$4-$C$55)</f>
        <v>237.543898227281</v>
      </c>
      <c r="R49" s="4" t="n">
        <f aca="false">$F$55*($Q$35/Q49)^$B$20</f>
        <v>26.5217978883141</v>
      </c>
      <c r="S49" s="4" t="n">
        <f aca="false">R49*Q49/($E$7*$B$19)/10</f>
        <v>2776.67257373286</v>
      </c>
      <c r="T49" s="14" t="n">
        <f aca="false">(Q49-Q48)*(R48+R49)/20</f>
        <v>35.6939596518602</v>
      </c>
    </row>
    <row r="50" customFormat="false" ht="12.8" hidden="false" customHeight="false" outlineLevel="0" collapsed="false">
      <c r="A50" s="4" t="n">
        <v>15</v>
      </c>
      <c r="B50" s="4" t="n">
        <f aca="false">$B$23+A50*$E$10</f>
        <v>15</v>
      </c>
      <c r="C50" s="4" t="n">
        <f aca="false">0.5*(1-COS(B50/360*2*PI()))*$E$3+$E$5</f>
        <v>51.2592791866308</v>
      </c>
      <c r="D50" s="4" t="n">
        <f aca="false">$B$15*($E$4/C50)^$B$20</f>
        <v>34.971310188091</v>
      </c>
      <c r="E50" s="4" t="n">
        <f aca="false">D50*C50/($E$7*$B$19*10)</f>
        <v>790.063918368163</v>
      </c>
      <c r="F50" s="4" t="n">
        <f aca="false">10*($E$7*$B$19*G50)/C50</f>
        <v>173.46321057136</v>
      </c>
      <c r="G50" s="4" t="n">
        <f aca="false">E50+(A50/$A$55)*$E$12</f>
        <v>3918.84156182973</v>
      </c>
      <c r="H50" s="12" t="n">
        <f aca="false">(C50-C49)*(D49+D50)/20</f>
        <v>3.09366241150571</v>
      </c>
      <c r="J50" s="4" t="n">
        <v>15</v>
      </c>
      <c r="K50" s="4" t="n">
        <f aca="false">$E$4-(J50/30)*($E$4-$C$35)</f>
        <v>244.444444444444</v>
      </c>
      <c r="L50" s="4" t="n">
        <f aca="false">$B$15*($E$4/K50)^$B$20</f>
        <v>3.9259173831687</v>
      </c>
      <c r="M50" s="4" t="n">
        <f aca="false">L50*K50/($E$7*$B$19)/10</f>
        <v>422.959863957263</v>
      </c>
      <c r="N50" s="13" t="n">
        <f aca="false">(K50-K49)*(L49+L50)/20</f>
        <v>-5.0470108030295</v>
      </c>
      <c r="P50" s="4" t="n">
        <v>15</v>
      </c>
      <c r="Q50" s="4" t="n">
        <f aca="false">$C$55+(P50/30)*($E$4-$C$55)</f>
        <v>250.475182365854</v>
      </c>
      <c r="R50" s="4" t="n">
        <f aca="false">$F$55*($Q$35/Q50)^$B$20</f>
        <v>24.6248622622684</v>
      </c>
      <c r="S50" s="4" t="n">
        <f aca="false">R50*Q50/($E$7*$B$19)/10</f>
        <v>2718.41865397492</v>
      </c>
      <c r="T50" s="14" t="n">
        <f aca="false">(Q50-Q49)*(R49+R50)/20</f>
        <v>33.0695997573099</v>
      </c>
    </row>
    <row r="51" customFormat="false" ht="12.8" hidden="false" customHeight="false" outlineLevel="0" collapsed="false">
      <c r="A51" s="4" t="n">
        <v>16</v>
      </c>
      <c r="B51" s="4" t="n">
        <f aca="false">$B$23+A51*$E$10</f>
        <v>16</v>
      </c>
      <c r="C51" s="4" t="n">
        <f aca="false">0.5*(1-COS(B51/360*2*PI()))*$E$3+$E$5</f>
        <v>52.1921052567807</v>
      </c>
      <c r="D51" s="4" t="n">
        <f aca="false">$B$15*($E$4/C51)^$B$20</f>
        <v>34.0993935103682</v>
      </c>
      <c r="E51" s="4" t="n">
        <f aca="false">D51*C51/($E$7*$B$19*10)</f>
        <v>784.38503653687</v>
      </c>
      <c r="F51" s="4" t="n">
        <f aca="false">10*($E$7*$B$19*G51)/C51</f>
        <v>179.183813501356</v>
      </c>
      <c r="G51" s="4" t="n">
        <f aca="false">E51+(A51/$A$55)*$E$12</f>
        <v>4121.74785622921</v>
      </c>
      <c r="H51" s="12" t="n">
        <f aca="false">(C51-C50)*(D50+D51)/20</f>
        <v>3.22154765467605</v>
      </c>
      <c r="J51" s="4" t="n">
        <v>16</v>
      </c>
      <c r="K51" s="4" t="n">
        <f aca="false">$E$4-(J51/30)*($E$4-$C$35)</f>
        <v>231.111111111111</v>
      </c>
      <c r="L51" s="4" t="n">
        <f aca="false">$B$15*($E$4/K51)^$B$20</f>
        <v>4.24662820883889</v>
      </c>
      <c r="M51" s="4" t="n">
        <f aca="false">L51*K51/($E$7*$B$19)/10</f>
        <v>432.556553319142</v>
      </c>
      <c r="N51" s="13" t="n">
        <f aca="false">(K51-K50)*(L50+L51)/20</f>
        <v>-5.44836372800506</v>
      </c>
      <c r="P51" s="4" t="n">
        <v>16</v>
      </c>
      <c r="Q51" s="4" t="n">
        <f aca="false">$C$55+(P51/30)*($E$4-$C$55)</f>
        <v>263.406466504426</v>
      </c>
      <c r="R51" s="4" t="n">
        <f aca="false">$F$55*($Q$35/Q51)^$B$20</f>
        <v>22.9491913215811</v>
      </c>
      <c r="S51" s="4" t="n">
        <f aca="false">R51*Q51/($E$7*$B$19)/10</f>
        <v>2664.22960136319</v>
      </c>
      <c r="T51" s="14" t="n">
        <f aca="false">(Q51-Q50)*(R50+R51)/20</f>
        <v>30.7596802258221</v>
      </c>
    </row>
    <row r="52" customFormat="false" ht="12.8" hidden="false" customHeight="false" outlineLevel="0" collapsed="false">
      <c r="A52" s="4" t="n">
        <v>17</v>
      </c>
      <c r="B52" s="4" t="n">
        <f aca="false">$B$23+A52*$E$10</f>
        <v>17</v>
      </c>
      <c r="C52" s="4" t="n">
        <f aca="false">0.5*(1-COS(B52/360*2*PI()))*$E$3+$E$5</f>
        <v>53.1834932518373</v>
      </c>
      <c r="D52" s="4" t="n">
        <f aca="false">$B$15*($E$4/C52)^$B$20</f>
        <v>33.2128231085671</v>
      </c>
      <c r="E52" s="4" t="n">
        <f aca="false">D52*C52/($E$7*$B$19*10)</f>
        <v>778.503343992034</v>
      </c>
      <c r="F52" s="4" t="n">
        <f aca="false">10*($E$7*$B$19*G52)/C52</f>
        <v>184.49148420829</v>
      </c>
      <c r="G52" s="4" t="n">
        <f aca="false">E52+(A52/$A$55)*$E$12</f>
        <v>4324.45133991514</v>
      </c>
      <c r="H52" s="12" t="n">
        <f aca="false">(C52-C51)*(D51+D52)/20</f>
        <v>3.33662617383333</v>
      </c>
      <c r="J52" s="4" t="n">
        <v>17</v>
      </c>
      <c r="K52" s="4" t="n">
        <f aca="false">$E$4-(J52/30)*($E$4-$C$35)</f>
        <v>217.777777777778</v>
      </c>
      <c r="L52" s="4" t="n">
        <f aca="false">$B$15*($E$4/K52)^$B$20</f>
        <v>4.61502873370619</v>
      </c>
      <c r="M52" s="4" t="n">
        <f aca="false">L52*K52/($E$7*$B$19)/10</f>
        <v>442.961316752259</v>
      </c>
      <c r="N52" s="13" t="n">
        <f aca="false">(K52-K51)*(L51+L52)/20</f>
        <v>-5.90777129503004</v>
      </c>
      <c r="P52" s="4" t="n">
        <v>17</v>
      </c>
      <c r="Q52" s="4" t="n">
        <f aca="false">$C$55+(P52/30)*($E$4-$C$55)</f>
        <v>276.337750642999</v>
      </c>
      <c r="R52" s="4" t="n">
        <f aca="false">$F$55*($Q$35/Q52)^$B$20</f>
        <v>21.4599194061516</v>
      </c>
      <c r="S52" s="4" t="n">
        <f aca="false">R52*Q52/($E$7*$B$19)/10</f>
        <v>2613.64220815513</v>
      </c>
      <c r="T52" s="14" t="n">
        <f aca="false">(Q52-Q51)*(R51+R52)/20</f>
        <v>28.7133414580825</v>
      </c>
    </row>
    <row r="53" customFormat="false" ht="12.8" hidden="false" customHeight="false" outlineLevel="0" collapsed="false">
      <c r="A53" s="4" t="n">
        <v>18</v>
      </c>
      <c r="B53" s="4" t="n">
        <f aca="false">$B$23+A53*$E$10</f>
        <v>18</v>
      </c>
      <c r="C53" s="4" t="n">
        <f aca="false">0.5*(1-COS(B53/360*2*PI()))*$E$3+$E$5</f>
        <v>54.2331411854137</v>
      </c>
      <c r="D53" s="4" t="n">
        <f aca="false">$B$15*($E$4/C53)^$B$20</f>
        <v>32.3163819685178</v>
      </c>
      <c r="E53" s="4" t="n">
        <f aca="false">D53*C53/($E$7*$B$19*10)</f>
        <v>772.441008968155</v>
      </c>
      <c r="F53" s="4" t="n">
        <f aca="false">10*($E$7*$B$19*G53)/C53</f>
        <v>189.393656085379</v>
      </c>
      <c r="G53" s="4" t="n">
        <f aca="false">E53+(A53/$A$55)*$E$12</f>
        <v>4526.97418112203</v>
      </c>
      <c r="H53" s="12" t="n">
        <f aca="false">(C53-C52)*(D52+D53)/20</f>
        <v>3.43912973490332</v>
      </c>
      <c r="J53" s="4" t="n">
        <v>18</v>
      </c>
      <c r="K53" s="4" t="n">
        <f aca="false">$E$4-(J53/30)*($E$4-$C$35)</f>
        <v>204.444444444444</v>
      </c>
      <c r="L53" s="4" t="n">
        <f aca="false">$B$15*($E$4/K53)^$B$20</f>
        <v>5.0418272014953</v>
      </c>
      <c r="M53" s="4" t="n">
        <f aca="false">L53*K53/($E$7*$B$19)/10</f>
        <v>454.298288661795</v>
      </c>
      <c r="N53" s="13" t="n">
        <f aca="false">(K53-K52)*(L52+L53)/20</f>
        <v>-6.437903956801</v>
      </c>
      <c r="P53" s="4" t="n">
        <v>18</v>
      </c>
      <c r="Q53" s="4" t="n">
        <f aca="false">$C$55+(P53/30)*($E$4-$C$55)</f>
        <v>289.269034781572</v>
      </c>
      <c r="R53" s="4" t="n">
        <f aca="false">$F$55*($Q$35/Q53)^$B$20</f>
        <v>20.1289753025239</v>
      </c>
      <c r="S53" s="4" t="n">
        <f aca="false">R53*Q53/($E$7*$B$19)/10</f>
        <v>2566.26466219689</v>
      </c>
      <c r="T53" s="14" t="n">
        <f aca="false">(Q53-Q52)*(R52+R53)/20</f>
        <v>26.8898907243533</v>
      </c>
    </row>
    <row r="54" customFormat="false" ht="12.8" hidden="false" customHeight="false" outlineLevel="0" collapsed="false">
      <c r="A54" s="4" t="n">
        <v>19</v>
      </c>
      <c r="B54" s="4" t="n">
        <f aca="false">$B$23+A54*$E$10</f>
        <v>19</v>
      </c>
      <c r="C54" s="4" t="n">
        <f aca="false">0.5*(1-COS(B54/360*2*PI()))*$E$3+$E$5</f>
        <v>55.3407293245811</v>
      </c>
      <c r="D54" s="4" t="n">
        <f aca="false">$B$15*($E$4/C54)^$B$20</f>
        <v>31.4145299889684</v>
      </c>
      <c r="E54" s="4" t="n">
        <f aca="false">D54*C54/($E$7*$B$19*10)</f>
        <v>766.219631460644</v>
      </c>
      <c r="F54" s="4" t="n">
        <f aca="false">10*($E$7*$B$19*G54)/C54</f>
        <v>193.899925942381</v>
      </c>
      <c r="G54" s="4" t="n">
        <f aca="false">E54+(A54/$A$55)*$E$12</f>
        <v>4729.33797984529</v>
      </c>
      <c r="H54" s="12" t="n">
        <f aca="false">(C54-C53)*(D53+D54)/20</f>
        <v>3.52938010912149</v>
      </c>
      <c r="J54" s="4" t="n">
        <v>19</v>
      </c>
      <c r="K54" s="4" t="n">
        <f aca="false">$E$4-(J54/30)*($E$4-$C$35)</f>
        <v>191.111111111111</v>
      </c>
      <c r="L54" s="4" t="n">
        <f aca="false">$B$15*($E$4/K54)^$B$20</f>
        <v>5.54106294384181</v>
      </c>
      <c r="M54" s="4" t="n">
        <f aca="false">L54*K54/($E$7*$B$19)/10</f>
        <v>466.720472311005</v>
      </c>
      <c r="N54" s="13" t="n">
        <f aca="false">(K54-K53)*(L53+L54)/20</f>
        <v>-7.0552600968914</v>
      </c>
      <c r="P54" s="4" t="n">
        <v>19</v>
      </c>
      <c r="Q54" s="4" t="n">
        <f aca="false">$C$55+(P54/30)*($E$4-$C$55)</f>
        <v>302.200318920144</v>
      </c>
      <c r="R54" s="4" t="n">
        <f aca="false">$F$55*($Q$35/Q54)^$B$20</f>
        <v>18.9335262622498</v>
      </c>
      <c r="S54" s="4" t="n">
        <f aca="false">R54*Q54/($E$7*$B$19)/10</f>
        <v>2521.7629222324</v>
      </c>
      <c r="T54" s="14" t="n">
        <f aca="false">(Q54-Q53)*(R53+R54)/20</f>
        <v>25.2564153448765</v>
      </c>
    </row>
    <row r="55" customFormat="false" ht="12.8" hidden="false" customHeight="false" outlineLevel="0" collapsed="false">
      <c r="A55" s="4" t="n">
        <v>20</v>
      </c>
      <c r="B55" s="4" t="n">
        <f aca="false">$B$23+A55*$E$10</f>
        <v>20</v>
      </c>
      <c r="C55" s="4" t="n">
        <f aca="false">0.5*(1-COS(B55/360*2*PI()))*$E$3+$E$5</f>
        <v>56.5059202872628</v>
      </c>
      <c r="D55" s="4" t="n">
        <f aca="false">$B$15*($E$4/C55)^$B$20</f>
        <v>30.5113808251865</v>
      </c>
      <c r="E55" s="4" t="n">
        <f aca="false">D55*C55/($E$7*$B$19*10)</f>
        <v>759.860108430681</v>
      </c>
      <c r="F55" s="4" t="n">
        <f aca="false">10*($E$7*$B$19*G55)/C55</f>
        <v>198.021733740266</v>
      </c>
      <c r="G55" s="4" t="n">
        <f aca="false">E55+(A55/$A$55)*$E$12</f>
        <v>4931.5636330461</v>
      </c>
      <c r="H55" s="12" t="n">
        <f aca="false">(C55-C54)*(D54+D55)/20</f>
        <v>3.60777558182424</v>
      </c>
      <c r="J55" s="4" t="n">
        <v>20</v>
      </c>
      <c r="K55" s="4" t="n">
        <f aca="false">$E$4-(J55/30)*($E$4-$C$35)</f>
        <v>177.777777777778</v>
      </c>
      <c r="L55" s="4" t="n">
        <f aca="false">$B$15*($E$4/K55)^$B$20</f>
        <v>6.13147460010566</v>
      </c>
      <c r="M55" s="4" t="n">
        <f aca="false">L55*K55/($E$7*$B$19)/10</f>
        <v>480.419068667102</v>
      </c>
      <c r="N55" s="13" t="n">
        <f aca="false">(K55-K54)*(L54+L55)/20</f>
        <v>-7.78169169596496</v>
      </c>
      <c r="P55" s="4" t="n">
        <v>20</v>
      </c>
      <c r="Q55" s="4" t="n">
        <f aca="false">$C$55+(P55/30)*($E$4-$C$55)</f>
        <v>315.131603058717</v>
      </c>
      <c r="R55" s="4" t="n">
        <f aca="false">$F$55*($Q$35/Q55)^$B$20</f>
        <v>17.8548271360514</v>
      </c>
      <c r="S55" s="4" t="n">
        <f aca="false">R55*Q55/($E$7*$B$19)/10</f>
        <v>2479.85015180402</v>
      </c>
      <c r="T55" s="14" t="n">
        <f aca="false">(Q55-Q54)*(R54+R55)/20</f>
        <v>23.786032539183</v>
      </c>
    </row>
    <row r="56" customFormat="false" ht="12.8" hidden="false" customHeight="false" outlineLevel="0" collapsed="false">
      <c r="A56" s="4"/>
      <c r="D56" s="4"/>
      <c r="E56" s="4"/>
      <c r="H56" s="12"/>
      <c r="J56" s="4" t="n">
        <v>21</v>
      </c>
      <c r="K56" s="4" t="n">
        <f aca="false">$E$4-(J56/30)*($E$4-$C$35)</f>
        <v>164.444444444444</v>
      </c>
      <c r="L56" s="4" t="n">
        <f aca="false">$B$15*($E$4/K56)^$B$20</f>
        <v>6.83858906796757</v>
      </c>
      <c r="M56" s="4" t="n">
        <f aca="false">L56*K56/($E$7*$B$19)/10</f>
        <v>495.636799449579</v>
      </c>
      <c r="N56" s="13" t="n">
        <f aca="false">(K56-K55)*(L55+L56)/20</f>
        <v>-8.64670911204884</v>
      </c>
      <c r="P56" s="4" t="n">
        <v>21</v>
      </c>
      <c r="Q56" s="4" t="n">
        <f aca="false">$C$55+(P56/30)*($E$4-$C$55)</f>
        <v>328.06288719729</v>
      </c>
      <c r="R56" s="4" t="n">
        <f aca="false">$F$55*($Q$35/Q56)^$B$20</f>
        <v>16.8773574404156</v>
      </c>
      <c r="S56" s="4" t="n">
        <f aca="false">R56*Q56/($E$7*$B$19)/10</f>
        <v>2440.27843039113</v>
      </c>
      <c r="T56" s="14" t="n">
        <f aca="false">(Q56-Q55)*(R55+R56)/20</f>
        <v>22.4565873755823</v>
      </c>
    </row>
    <row r="57" customFormat="false" ht="12.8" hidden="false" customHeight="false" outlineLevel="0" collapsed="false">
      <c r="A57" s="4"/>
      <c r="D57" s="4"/>
      <c r="E57" s="4"/>
      <c r="G57" s="12" t="s">
        <v>44</v>
      </c>
      <c r="H57" s="15" t="n">
        <f aca="false">SUM(H36:H55)</f>
        <v>43.4520829900085</v>
      </c>
      <c r="J57" s="4" t="n">
        <v>22</v>
      </c>
      <c r="K57" s="4" t="n">
        <f aca="false">$E$4-(J57/30)*($E$4-$C$35)</f>
        <v>151.111111111111</v>
      </c>
      <c r="L57" s="4" t="n">
        <f aca="false">$B$15*($E$4/K57)^$B$20</f>
        <v>7.69800940789565</v>
      </c>
      <c r="M57" s="4" t="n">
        <f aca="false">L57*K57/($E$7*$B$19)/10</f>
        <v>512.687426565851</v>
      </c>
      <c r="N57" s="13" t="n">
        <f aca="false">(K57-K56)*(L56+L57)/20</f>
        <v>-9.69106565057547</v>
      </c>
      <c r="P57" s="4" t="n">
        <v>22</v>
      </c>
      <c r="Q57" s="4" t="n">
        <f aca="false">$C$55+(P57/30)*($E$4-$C$55)</f>
        <v>340.994171335863</v>
      </c>
      <c r="R57" s="4" t="n">
        <f aca="false">$F$55*($Q$35/Q57)^$B$20</f>
        <v>15.9881662010029</v>
      </c>
      <c r="S57" s="4" t="n">
        <f aca="false">R57*Q57/($E$7*$B$19)/10</f>
        <v>2402.83218238507</v>
      </c>
      <c r="T57" s="14" t="n">
        <f aca="false">(Q57-Q56)*(R56+R57)/20</f>
        <v>21.2496712285081</v>
      </c>
    </row>
    <row r="58" customFormat="false" ht="12.8" hidden="false" customHeight="false" outlineLevel="0" collapsed="false">
      <c r="A58" s="4"/>
      <c r="D58" s="4"/>
      <c r="E58" s="4"/>
      <c r="J58" s="4" t="n">
        <v>23</v>
      </c>
      <c r="K58" s="4" t="n">
        <f aca="false">$E$4-(J58/30)*($E$4-$C$35)</f>
        <v>137.777777777778</v>
      </c>
      <c r="L58" s="4" t="n">
        <f aca="false">$B$15*($E$4/K58)^$B$20</f>
        <v>8.76077547143157</v>
      </c>
      <c r="M58" s="4" t="n">
        <f aca="false">L58*K58/($E$7*$B$19)/10</f>
        <v>531.985207009341</v>
      </c>
      <c r="N58" s="13" t="n">
        <f aca="false">(K58-K57)*(L57+L58)/20</f>
        <v>-10.9725232528848</v>
      </c>
      <c r="P58" s="4" t="n">
        <v>23</v>
      </c>
      <c r="Q58" s="4" t="n">
        <f aca="false">$C$55+(P58/30)*($E$4-$C$55)</f>
        <v>353.925455474435</v>
      </c>
      <c r="R58" s="4" t="n">
        <f aca="false">$F$55*($Q$35/Q58)^$B$20</f>
        <v>15.1763688272633</v>
      </c>
      <c r="S58" s="4" t="n">
        <f aca="false">R58*Q58/($E$7*$B$19)/10</f>
        <v>2367.32291752392</v>
      </c>
      <c r="T58" s="14" t="n">
        <f aca="false">(Q58-Q57)*(R57+R58)/20</f>
        <v>20.1498728748507</v>
      </c>
    </row>
    <row r="59" customFormat="false" ht="12.8" hidden="false" customHeight="false" outlineLevel="0" collapsed="false">
      <c r="A59" s="4"/>
      <c r="D59" s="4"/>
      <c r="E59" s="4"/>
      <c r="J59" s="4" t="n">
        <v>24</v>
      </c>
      <c r="K59" s="4" t="n">
        <f aca="false">$E$4-(J59/30)*($E$4-$C$35)</f>
        <v>124.444444444444</v>
      </c>
      <c r="L59" s="4" t="n">
        <f aca="false">$B$15*($E$4/K59)^$B$20</f>
        <v>10.1024725134557</v>
      </c>
      <c r="M59" s="4" t="n">
        <f aca="false">L59*K59/($E$7*$B$19)/10</f>
        <v>554.090904208591</v>
      </c>
      <c r="N59" s="13" t="n">
        <f aca="false">(K59-K58)*(L58+L59)/20</f>
        <v>-12.5754986565915</v>
      </c>
      <c r="P59" s="4" t="n">
        <v>24</v>
      </c>
      <c r="Q59" s="4" t="n">
        <f aca="false">$C$55+(P59/30)*($E$4-$C$55)</f>
        <v>366.856739613008</v>
      </c>
      <c r="R59" s="4" t="n">
        <f aca="false">$F$55*($Q$35/Q59)^$B$20</f>
        <v>14.4327566554125</v>
      </c>
      <c r="S59" s="4" t="n">
        <f aca="false">R59*Q59/($E$7*$B$19)/10</f>
        <v>2333.58498360985</v>
      </c>
      <c r="T59" s="14" t="n">
        <f aca="false">(Q59-Q58)*(R58+R59)/20</f>
        <v>19.1442007355567</v>
      </c>
    </row>
    <row r="60" customFormat="false" ht="12.8" hidden="false" customHeight="false" outlineLevel="0" collapsed="false">
      <c r="A60" s="4"/>
      <c r="D60" s="4"/>
      <c r="E60" s="4"/>
      <c r="J60" s="4" t="n">
        <v>25</v>
      </c>
      <c r="K60" s="4" t="n">
        <f aca="false">$E$4-(J60/30)*($E$4-$C$35)</f>
        <v>111.111111111111</v>
      </c>
      <c r="L60" s="4" t="n">
        <f aca="false">$B$15*($E$4/K60)^$B$20</f>
        <v>11.8394876608273</v>
      </c>
      <c r="M60" s="4" t="n">
        <f aca="false">L60*K60/($E$7*$B$19)/10</f>
        <v>579.786675155219</v>
      </c>
      <c r="N60" s="13" t="n">
        <f aca="false">(K60-K59)*(L59+L60)/20</f>
        <v>-14.627973449522</v>
      </c>
      <c r="P60" s="4" t="n">
        <v>25</v>
      </c>
      <c r="Q60" s="4" t="n">
        <f aca="false">$C$55+(P60/30)*($E$4-$C$55)</f>
        <v>379.788023751581</v>
      </c>
      <c r="R60" s="4" t="n">
        <f aca="false">$F$55*($Q$35/Q60)^$B$20</f>
        <v>13.749490974201</v>
      </c>
      <c r="S60" s="4" t="n">
        <f aca="false">R60*Q60/($E$7*$B$19)/10</f>
        <v>2301.47210853411</v>
      </c>
      <c r="T60" s="14" t="n">
        <f aca="false">(Q60-Q59)*(R59+R60)/20</f>
        <v>18.2216325881075</v>
      </c>
    </row>
    <row r="61" customFormat="false" ht="12.8" hidden="false" customHeight="false" outlineLevel="0" collapsed="false">
      <c r="A61" s="4"/>
      <c r="D61" s="4"/>
      <c r="E61" s="4"/>
      <c r="J61" s="4" t="n">
        <v>26</v>
      </c>
      <c r="K61" s="4" t="n">
        <f aca="false">$E$4-(J61/30)*($E$4-$C$35)</f>
        <v>97.7777777777778</v>
      </c>
      <c r="L61" s="4" t="n">
        <f aca="false">$B$15*($E$4/K61)^$B$20</f>
        <v>14.1598015982424</v>
      </c>
      <c r="M61" s="4" t="n">
        <f aca="false">L61*K61/($E$7*$B$19)/10</f>
        <v>610.204155933671</v>
      </c>
      <c r="N61" s="13" t="n">
        <f aca="false">(K61-K60)*(L60+L61)/20</f>
        <v>-17.3328595060465</v>
      </c>
      <c r="P61" s="4" t="n">
        <v>26</v>
      </c>
      <c r="Q61" s="4" t="n">
        <f aca="false">$C$55+(P61/30)*($E$4-$C$55)</f>
        <v>392.719307890154</v>
      </c>
      <c r="R61" s="4" t="n">
        <f aca="false">$F$55*($Q$35/Q61)^$B$20</f>
        <v>13.1198610897559</v>
      </c>
      <c r="S61" s="4" t="n">
        <f aca="false">R61*Q61/($E$7*$B$19)/10</f>
        <v>2270.85456353695</v>
      </c>
      <c r="T61" s="14" t="n">
        <f aca="false">(Q61-Q60)*(R60+R61)/20</f>
        <v>17.3727613079186</v>
      </c>
    </row>
    <row r="62" customFormat="false" ht="12.8" hidden="false" customHeight="false" outlineLevel="0" collapsed="false">
      <c r="A62" s="4"/>
      <c r="D62" s="4"/>
      <c r="E62" s="4"/>
      <c r="J62" s="4" t="n">
        <v>27</v>
      </c>
      <c r="K62" s="4" t="n">
        <f aca="false">$E$4-(J62/30)*($E$4-$C$35)</f>
        <v>84.4444444444445</v>
      </c>
      <c r="L62" s="4" t="n">
        <f aca="false">$B$15*($E$4/K62)^$B$20</f>
        <v>17.3857680019921</v>
      </c>
      <c r="M62" s="4" t="n">
        <f aca="false">L62*K62/($E$7*$B$19)/10</f>
        <v>647.05737734473</v>
      </c>
      <c r="N62" s="13" t="n">
        <f aca="false">(K62-K61)*(L61+L62)/20</f>
        <v>-21.0303797334897</v>
      </c>
      <c r="P62" s="4" t="n">
        <v>27</v>
      </c>
      <c r="Q62" s="4" t="n">
        <f aca="false">$C$55+(P62/30)*($E$4-$C$55)</f>
        <v>405.650592028726</v>
      </c>
      <c r="R62" s="4" t="n">
        <f aca="false">$F$55*($Q$35/Q62)^$B$20</f>
        <v>12.5380914234133</v>
      </c>
      <c r="S62" s="4" t="n">
        <f aca="false">R62*Q62/($E$7*$B$19)/10</f>
        <v>2241.61681968048</v>
      </c>
      <c r="T62" s="14" t="n">
        <f aca="false">(Q62-Q61)*(R61+R62)/20</f>
        <v>16.5895137180898</v>
      </c>
    </row>
    <row r="63" customFormat="false" ht="12.8" hidden="false" customHeight="false" outlineLevel="0" collapsed="false">
      <c r="A63" s="4"/>
      <c r="D63" s="4"/>
      <c r="E63" s="4"/>
      <c r="J63" s="4" t="n">
        <v>28</v>
      </c>
      <c r="K63" s="4" t="n">
        <f aca="false">$E$4-(J63/30)*($E$4-$C$35)</f>
        <v>71.1111111111111</v>
      </c>
      <c r="L63" s="4" t="n">
        <f aca="false">$B$15*($E$4/K63)^$B$20</f>
        <v>22.1146945716122</v>
      </c>
      <c r="M63" s="4" t="n">
        <f aca="false">L63*K63/($E$7*$B$19)/10</f>
        <v>693.100545162059</v>
      </c>
      <c r="N63" s="13" t="n">
        <f aca="false">(K63-K62)*(L62+L63)/20</f>
        <v>-26.3336417157362</v>
      </c>
      <c r="P63" s="4" t="n">
        <v>28</v>
      </c>
      <c r="Q63" s="4" t="n">
        <f aca="false">$C$55+(P63/30)*($E$4-$C$55)</f>
        <v>418.581876167299</v>
      </c>
      <c r="R63" s="4" t="n">
        <f aca="false">$F$55*($Q$35/Q63)^$B$20</f>
        <v>11.9991865053343</v>
      </c>
      <c r="S63" s="4" t="n">
        <f aca="false">R63*Q63/($E$7*$B$19)/10</f>
        <v>2213.65559906659</v>
      </c>
      <c r="T63" s="14" t="n">
        <f aca="false">(Q63-Q62)*(R62+R63)/20</f>
        <v>15.8649256441882</v>
      </c>
    </row>
    <row r="64" customFormat="false" ht="12.8" hidden="false" customHeight="false" outlineLevel="0" collapsed="false">
      <c r="A64" s="4"/>
      <c r="D64" s="4"/>
      <c r="J64" s="4" t="n">
        <v>29</v>
      </c>
      <c r="K64" s="4" t="n">
        <f aca="false">$E$4-(J64/30)*($E$4-$C$35)</f>
        <v>57.7777777777778</v>
      </c>
      <c r="L64" s="4" t="n">
        <f aca="false">$B$15*($E$4/K64)^$B$20</f>
        <v>29.5752366345112</v>
      </c>
      <c r="M64" s="4" t="n">
        <f aca="false">L64*K64/($E$7*$B$19)/10</f>
        <v>753.124702298818</v>
      </c>
      <c r="N64" s="13" t="n">
        <f aca="false">(K64-K63)*(L63+L64)/20</f>
        <v>-34.4599541374158</v>
      </c>
      <c r="P64" s="4" t="n">
        <v>29</v>
      </c>
      <c r="Q64" s="4" t="n">
        <f aca="false">$C$55+(P64/30)*($E$4-$C$55)</f>
        <v>431.513160305872</v>
      </c>
      <c r="R64" s="4" t="n">
        <f aca="false">$F$55*($Q$35/Q64)^$B$20</f>
        <v>11.4988055126177</v>
      </c>
      <c r="S64" s="4" t="n">
        <f aca="false">R64*Q64/($E$7*$B$19)/10</f>
        <v>2186.87824437607</v>
      </c>
      <c r="T64" s="14" t="n">
        <f aca="false">(Q64-Q63)*(R63+R64)/20</f>
        <v>15.1929605735025</v>
      </c>
    </row>
    <row r="65" customFormat="false" ht="12.8" hidden="false" customHeight="false" outlineLevel="0" collapsed="false">
      <c r="A65" s="4"/>
      <c r="D65" s="4"/>
      <c r="E65" s="4"/>
      <c r="J65" s="4" t="n">
        <v>30</v>
      </c>
      <c r="K65" s="4" t="n">
        <f aca="false">$E$4-(J65/30)*($E$4-$C$35)</f>
        <v>44.4444444444445</v>
      </c>
      <c r="L65" s="4" t="n">
        <f aca="false">$B$15*($E$4/K65)^$B$20</f>
        <v>42.7020693356628</v>
      </c>
      <c r="M65" s="4" t="n">
        <f aca="false">L65*K65/($E$7*$B$19)/10</f>
        <v>836.45818169269</v>
      </c>
      <c r="N65" s="13" t="n">
        <f aca="false">(K65-K64)*(L64+L65)/20</f>
        <v>-48.1848706467826</v>
      </c>
      <c r="P65" s="4" t="n">
        <v>30</v>
      </c>
      <c r="Q65" s="4" t="n">
        <f aca="false">$C$55+(P65/30)*($E$4-$C$55)</f>
        <v>444.444444444444</v>
      </c>
      <c r="R65" s="4" t="n">
        <f aca="false">$F$55*($Q$35/Q65)^$B$20</f>
        <v>11.0331600292756</v>
      </c>
      <c r="S65" s="4" t="n">
        <f aca="false">R65*Q65/($E$7*$B$19)/10</f>
        <v>2161.20134691103</v>
      </c>
      <c r="T65" s="14" t="n">
        <f aca="false">(Q65-Q64)*(R64+R65)/20</f>
        <v>14.5683624311376</v>
      </c>
    </row>
    <row r="66" customFormat="false" ht="17.35" hidden="false" customHeight="false" outlineLevel="0" collapsed="false">
      <c r="A66" s="4"/>
      <c r="D66" s="4"/>
      <c r="E66" s="4"/>
      <c r="G66" s="16"/>
      <c r="H66" s="17"/>
      <c r="I66" s="4"/>
      <c r="N66" s="13"/>
      <c r="T66" s="14"/>
    </row>
    <row r="67" customFormat="false" ht="17.35" hidden="false" customHeight="false" outlineLevel="0" collapsed="false">
      <c r="A67" s="4"/>
      <c r="D67" s="4"/>
      <c r="E67" s="4"/>
      <c r="G67" s="18"/>
      <c r="H67" s="19"/>
      <c r="I67" s="4"/>
      <c r="M67" s="13" t="s">
        <v>45</v>
      </c>
      <c r="N67" s="20" t="n">
        <f aca="false">SUM(N36:N64)</f>
        <v>-239.355245509467</v>
      </c>
      <c r="S67" s="14" t="s">
        <v>46</v>
      </c>
      <c r="T67" s="21" t="n">
        <f aca="false">SUM(T36:T64)</f>
        <v>1563.61602445929</v>
      </c>
    </row>
    <row r="68" customFormat="false" ht="12.8" hidden="false" customHeight="false" outlineLevel="0" collapsed="false">
      <c r="A68" s="4"/>
      <c r="D68" s="4"/>
      <c r="E68" s="4"/>
      <c r="I68" s="4"/>
    </row>
    <row r="69" customFormat="false" ht="12.8" hidden="false" customHeight="false" outlineLevel="0" collapsed="false">
      <c r="A69" s="4"/>
      <c r="D69" s="4"/>
      <c r="E69" s="4"/>
      <c r="I69" s="4"/>
    </row>
    <row r="70" customFormat="false" ht="12.8" hidden="false" customHeight="false" outlineLevel="0" collapsed="false">
      <c r="A70" s="4"/>
      <c r="D70" s="4"/>
      <c r="E70" s="4"/>
      <c r="I70" s="4"/>
    </row>
    <row r="71" customFormat="false" ht="12.8" hidden="false" customHeight="false" outlineLevel="0" collapsed="false">
      <c r="A71" s="4"/>
      <c r="D71" s="4"/>
      <c r="E71" s="4"/>
      <c r="I71" s="4"/>
    </row>
    <row r="72" customFormat="false" ht="12.8" hidden="false" customHeight="false" outlineLevel="0" collapsed="false">
      <c r="A72" s="4"/>
      <c r="D72" s="4"/>
      <c r="E72" s="4"/>
      <c r="I72" s="4"/>
    </row>
    <row r="73" customFormat="false" ht="12.8" hidden="false" customHeight="false" outlineLevel="0" collapsed="false">
      <c r="A73" s="4"/>
      <c r="D73" s="4"/>
      <c r="E73" s="4"/>
      <c r="I73" s="4"/>
    </row>
    <row r="74" customFormat="false" ht="12.8" hidden="false" customHeight="false" outlineLevel="0" collapsed="false">
      <c r="A74" s="4"/>
      <c r="D74" s="4"/>
      <c r="E74" s="4"/>
      <c r="I74" s="4"/>
    </row>
    <row r="75" customFormat="false" ht="12.8" hidden="false" customHeight="false" outlineLevel="0" collapsed="false">
      <c r="A75" s="4"/>
      <c r="D75" s="4"/>
      <c r="E75" s="4"/>
      <c r="I75" s="4"/>
    </row>
    <row r="76" customFormat="false" ht="12.8" hidden="false" customHeight="false" outlineLevel="0" collapsed="false">
      <c r="A76" s="4"/>
      <c r="D76" s="4"/>
      <c r="E76" s="4"/>
      <c r="I76" s="4"/>
    </row>
    <row r="77" customFormat="false" ht="12.8" hidden="false" customHeight="false" outlineLevel="0" collapsed="false">
      <c r="A77" s="4"/>
      <c r="D77" s="4"/>
      <c r="E77" s="4"/>
      <c r="I77" s="4"/>
    </row>
    <row r="78" customFormat="false" ht="12.8" hidden="false" customHeight="false" outlineLevel="0" collapsed="false">
      <c r="A78" s="4"/>
      <c r="D78" s="4"/>
      <c r="E78" s="4"/>
      <c r="I78" s="4"/>
    </row>
    <row r="79" customFormat="false" ht="12.8" hidden="false" customHeight="false" outlineLevel="0" collapsed="false">
      <c r="A79" s="4"/>
      <c r="D79" s="4"/>
      <c r="E79" s="4"/>
      <c r="I79" s="4"/>
    </row>
    <row r="80" customFormat="false" ht="12.8" hidden="false" customHeight="false" outlineLevel="0" collapsed="false">
      <c r="A80" s="4"/>
      <c r="D80" s="4"/>
      <c r="E80" s="4"/>
      <c r="I80" s="4"/>
    </row>
    <row r="81" customFormat="false" ht="12.8" hidden="false" customHeight="false" outlineLevel="0" collapsed="false">
      <c r="A81" s="4"/>
      <c r="D81" s="4"/>
      <c r="E81" s="4"/>
      <c r="I81" s="4"/>
    </row>
    <row r="82" customFormat="false" ht="12.8" hidden="false" customHeight="false" outlineLevel="0" collapsed="false">
      <c r="A82" s="4"/>
      <c r="D82" s="4"/>
      <c r="E82" s="4"/>
      <c r="I82" s="4"/>
    </row>
    <row r="83" customFormat="false" ht="12.8" hidden="false" customHeight="false" outlineLevel="0" collapsed="false">
      <c r="A83" s="4"/>
      <c r="D83" s="4"/>
      <c r="E83" s="4"/>
      <c r="I83" s="4"/>
    </row>
  </sheetData>
  <mergeCells count="2">
    <mergeCell ref="D33:E33"/>
    <mergeCell ref="F33:G3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2021-12-07T10:42:15Z</dcterms:created>
  <dc:creator/>
  <dc:description/>
  <dc:language>fr-FR</dc:language>
  <cp:lastModifiedBy/>
  <dcterms:modified xsi:type="dcterms:W3CDTF">2023-11-24T14:24:59Z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